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5.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6.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7.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8.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mc:AlternateContent xmlns:mc="http://schemas.openxmlformats.org/markup-compatibility/2006">
    <mc:Choice Requires="x15">
      <x15ac:absPath xmlns:x15ac="http://schemas.microsoft.com/office/spreadsheetml/2010/11/ac" url="S:\02 February\"/>
    </mc:Choice>
  </mc:AlternateContent>
  <xr:revisionPtr revIDLastSave="0" documentId="13_ncr:1_{4E09BF92-79F4-4B25-B617-E3FC1FD4C5A7}" xr6:coauthVersionLast="45" xr6:coauthVersionMax="45" xr10:uidLastSave="{00000000-0000-0000-0000-000000000000}"/>
  <bookViews>
    <workbookView xWindow="29580" yWindow="780" windowWidth="21600" windowHeight="11385" tabRatio="718" xr2:uid="{00000000-000D-0000-FFFF-FFFF00000000}"/>
  </bookViews>
  <sheets>
    <sheet name="Instructions" sheetId="20" r:id="rId1"/>
    <sheet name="Alternatives" sheetId="4" r:id="rId2"/>
    <sheet name="Alt1" sheetId="15" r:id="rId3"/>
    <sheet name="Alt2-1" sheetId="16" r:id="rId4"/>
    <sheet name="Alt2-2" sheetId="9" r:id="rId5"/>
    <sheet name="Alt2-3" sheetId="18" r:id="rId6"/>
    <sheet name="Alt2-4" sheetId="19" r:id="rId7"/>
    <sheet name="Alt3-1" sheetId="13" r:id="rId8"/>
    <sheet name="Alt3-2a" sheetId="7" r:id="rId9"/>
    <sheet name="Alt3-3a" sheetId="17" r:id="rId10"/>
    <sheet name="Indices" sheetId="2" r:id="rId11"/>
  </sheets>
  <definedNames>
    <definedName name="_Ref14702097" localSheetId="0">Instructions!$A$21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23" i="4" l="1"/>
  <c r="P73" i="7" l="1"/>
  <c r="Q73" i="7"/>
  <c r="P74" i="7"/>
  <c r="Q74" i="7"/>
  <c r="P75" i="7"/>
  <c r="Q75" i="7"/>
  <c r="P76" i="7"/>
  <c r="Q76" i="7"/>
  <c r="P77" i="7"/>
  <c r="Q77" i="7"/>
  <c r="P78" i="7"/>
  <c r="Q78" i="7"/>
  <c r="P79" i="7"/>
  <c r="Q79" i="7"/>
  <c r="P80" i="7"/>
  <c r="Q80" i="7"/>
  <c r="P81" i="7"/>
  <c r="Q81" i="7"/>
  <c r="P82" i="7"/>
  <c r="Q82" i="7"/>
  <c r="P83" i="7"/>
  <c r="Q83" i="7"/>
  <c r="P84" i="7"/>
  <c r="Q84" i="7"/>
  <c r="P85" i="7"/>
  <c r="Q85" i="7"/>
  <c r="P86" i="7"/>
  <c r="Q86" i="7"/>
  <c r="P87" i="7"/>
  <c r="Q87" i="7"/>
  <c r="P88" i="7"/>
  <c r="Q88" i="7"/>
  <c r="P89" i="7"/>
  <c r="Q89" i="7"/>
  <c r="P90" i="7"/>
  <c r="Q90" i="7"/>
  <c r="P91" i="7"/>
  <c r="Q91" i="7"/>
  <c r="P92" i="7"/>
  <c r="Q92" i="7"/>
  <c r="P72" i="7"/>
  <c r="Q72" i="7"/>
  <c r="C108" i="7"/>
  <c r="L107" i="7"/>
  <c r="K106" i="7"/>
  <c r="J105" i="7"/>
  <c r="I104" i="7"/>
  <c r="H103" i="7"/>
  <c r="G102" i="7"/>
  <c r="F101" i="7"/>
  <c r="E100" i="7"/>
  <c r="D99" i="7"/>
  <c r="M98" i="7"/>
  <c r="M108" i="7"/>
  <c r="C98" i="7"/>
  <c r="B73" i="7"/>
  <c r="B74" i="7"/>
  <c r="B75" i="7"/>
  <c r="B76" i="7"/>
  <c r="B77" i="7"/>
  <c r="B78" i="7"/>
  <c r="B79" i="7"/>
  <c r="B80" i="7"/>
  <c r="B81" i="7"/>
  <c r="B82" i="7"/>
  <c r="B83" i="7"/>
  <c r="B84" i="7"/>
  <c r="B85" i="7"/>
  <c r="B86" i="7"/>
  <c r="B87" i="7"/>
  <c r="B88" i="7"/>
  <c r="B89" i="7"/>
  <c r="B90" i="7"/>
  <c r="B91" i="7"/>
  <c r="B92" i="7"/>
  <c r="B72" i="7"/>
  <c r="D13" i="7" s="1"/>
  <c r="C94" i="7" s="1"/>
  <c r="N94" i="7" s="1"/>
  <c r="P52" i="7"/>
  <c r="Q52" i="7"/>
  <c r="P33" i="7"/>
  <c r="Q33" i="7"/>
  <c r="P34" i="7"/>
  <c r="Q34" i="7"/>
  <c r="P35" i="7"/>
  <c r="Q35" i="7"/>
  <c r="P36" i="7"/>
  <c r="Q36" i="7"/>
  <c r="P37" i="7"/>
  <c r="Q37" i="7"/>
  <c r="P38" i="7"/>
  <c r="Q38" i="7"/>
  <c r="P39" i="7"/>
  <c r="Q39" i="7"/>
  <c r="P40" i="7"/>
  <c r="Q40" i="7"/>
  <c r="P41" i="7"/>
  <c r="Q41" i="7"/>
  <c r="P42" i="7"/>
  <c r="Q42" i="7"/>
  <c r="P43" i="7"/>
  <c r="Q43" i="7"/>
  <c r="P44" i="7"/>
  <c r="Q44" i="7"/>
  <c r="P45" i="7"/>
  <c r="Q45" i="7"/>
  <c r="P46" i="7"/>
  <c r="Q46" i="7"/>
  <c r="P47" i="7"/>
  <c r="Q47" i="7"/>
  <c r="P48" i="7"/>
  <c r="Q48" i="7"/>
  <c r="P49" i="7"/>
  <c r="Q49" i="7"/>
  <c r="P50" i="7"/>
  <c r="Q50" i="7"/>
  <c r="P51" i="7"/>
  <c r="Q51" i="7"/>
  <c r="Q32" i="7"/>
  <c r="P32" i="7"/>
  <c r="L106" i="7" l="1"/>
  <c r="F100" i="7"/>
  <c r="G100" i="7" s="1"/>
  <c r="H100" i="7" s="1"/>
  <c r="I100" i="7" s="1"/>
  <c r="J100" i="7" s="1"/>
  <c r="K100" i="7" s="1"/>
  <c r="L100" i="7" s="1"/>
  <c r="O98" i="7"/>
  <c r="M99" i="7" s="1"/>
  <c r="M100" i="7" s="1"/>
  <c r="M101" i="7" s="1"/>
  <c r="M102" i="7" s="1"/>
  <c r="M103" i="7" s="1"/>
  <c r="M104" i="7" s="1"/>
  <c r="M105" i="7" s="1"/>
  <c r="M106" i="7" s="1"/>
  <c r="M107" i="7" s="1"/>
  <c r="C79" i="7"/>
  <c r="N79" i="7" s="1"/>
  <c r="C85" i="7"/>
  <c r="N85" i="7" s="1"/>
  <c r="C77" i="7"/>
  <c r="N77" i="7" s="1"/>
  <c r="C88" i="7"/>
  <c r="N88" i="7" s="1"/>
  <c r="C84" i="7"/>
  <c r="N84" i="7" s="1"/>
  <c r="C80" i="7"/>
  <c r="N80" i="7" s="1"/>
  <c r="C76" i="7"/>
  <c r="N76" i="7" s="1"/>
  <c r="C87" i="7"/>
  <c r="N87" i="7" s="1"/>
  <c r="C81" i="7"/>
  <c r="N81" i="7" s="1"/>
  <c r="C75" i="7"/>
  <c r="N75" i="7" s="1"/>
  <c r="C92" i="7"/>
  <c r="N92" i="7" s="1"/>
  <c r="C90" i="7"/>
  <c r="N90" i="7" s="1"/>
  <c r="C86" i="7"/>
  <c r="N86" i="7" s="1"/>
  <c r="C82" i="7"/>
  <c r="N82" i="7" s="1"/>
  <c r="C78" i="7"/>
  <c r="N78" i="7" s="1"/>
  <c r="C74" i="7"/>
  <c r="N74" i="7" s="1"/>
  <c r="C91" i="7"/>
  <c r="N91" i="7" s="1"/>
  <c r="C83" i="7"/>
  <c r="N83" i="7" s="1"/>
  <c r="C73" i="7"/>
  <c r="N73" i="7" s="1"/>
  <c r="C89" i="7"/>
  <c r="N89" i="7" s="1"/>
  <c r="B33" i="7"/>
  <c r="B34" i="7"/>
  <c r="B35" i="7"/>
  <c r="B36" i="7"/>
  <c r="B37" i="7"/>
  <c r="B38" i="7"/>
  <c r="B39" i="7"/>
  <c r="B40" i="7"/>
  <c r="B41" i="7"/>
  <c r="B42" i="7"/>
  <c r="B43" i="7"/>
  <c r="B44" i="7"/>
  <c r="B45" i="7"/>
  <c r="B46" i="7"/>
  <c r="B47" i="7"/>
  <c r="B48" i="7"/>
  <c r="B49" i="7"/>
  <c r="B50" i="7"/>
  <c r="B51" i="7"/>
  <c r="B52" i="7"/>
  <c r="B32" i="7"/>
  <c r="M68" i="7"/>
  <c r="L67" i="7"/>
  <c r="K66" i="7"/>
  <c r="J65" i="7"/>
  <c r="I64" i="7"/>
  <c r="H63" i="7"/>
  <c r="G62" i="7"/>
  <c r="F61" i="7"/>
  <c r="E60" i="7"/>
  <c r="D59" i="7"/>
  <c r="C68" i="7"/>
  <c r="M58" i="7"/>
  <c r="C58" i="7"/>
  <c r="C72" i="7"/>
  <c r="N72" i="7" s="1"/>
  <c r="H5" i="7"/>
  <c r="G5" i="7"/>
  <c r="F5" i="7"/>
  <c r="C3" i="7"/>
  <c r="C2" i="7"/>
  <c r="D34" i="7" s="1"/>
  <c r="P58" i="7" l="1"/>
  <c r="K105" i="7"/>
  <c r="L105" i="7" s="1"/>
  <c r="I103" i="7"/>
  <c r="J103" i="7" s="1"/>
  <c r="K103" i="7" s="1"/>
  <c r="L103" i="7" s="1"/>
  <c r="D12" i="7"/>
  <c r="C59" i="7"/>
  <c r="C60" i="7" s="1"/>
  <c r="F60" i="7"/>
  <c r="G60" i="7" s="1"/>
  <c r="H60" i="7" s="1"/>
  <c r="I60" i="7" s="1"/>
  <c r="J60" i="7" s="1"/>
  <c r="K60" i="7" s="1"/>
  <c r="L60" i="7" s="1"/>
  <c r="I63" i="7"/>
  <c r="J63" i="7" s="1"/>
  <c r="K63" i="7" s="1"/>
  <c r="L63" i="7" s="1"/>
  <c r="O58" i="7"/>
  <c r="G61" i="7" s="1"/>
  <c r="H61" i="7" s="1"/>
  <c r="I61" i="7" s="1"/>
  <c r="J61" i="7" s="1"/>
  <c r="K61" i="7" s="1"/>
  <c r="L61" i="7" s="1"/>
  <c r="M59" i="7"/>
  <c r="M60" i="7" s="1"/>
  <c r="M61" i="7" s="1"/>
  <c r="M62" i="7" s="1"/>
  <c r="M63" i="7" s="1"/>
  <c r="M64" i="7" s="1"/>
  <c r="M65" i="7" s="1"/>
  <c r="M66" i="7" s="1"/>
  <c r="M67" i="7" s="1"/>
  <c r="K65" i="7"/>
  <c r="L65" i="7" s="1"/>
  <c r="D68" i="7"/>
  <c r="E68" i="7" s="1"/>
  <c r="F68" i="7" s="1"/>
  <c r="G68" i="7" s="1"/>
  <c r="H68" i="7" s="1"/>
  <c r="I68" i="7" s="1"/>
  <c r="J68" i="7" s="1"/>
  <c r="K68" i="7" s="1"/>
  <c r="L68" i="7" s="1"/>
  <c r="L66" i="7"/>
  <c r="H102" i="7"/>
  <c r="I102" i="7" s="1"/>
  <c r="J102" i="7" s="1"/>
  <c r="K102" i="7" s="1"/>
  <c r="L102" i="7" s="1"/>
  <c r="E99" i="7"/>
  <c r="F99" i="7" s="1"/>
  <c r="G99" i="7" s="1"/>
  <c r="H99" i="7" s="1"/>
  <c r="I99" i="7" s="1"/>
  <c r="J99" i="7" s="1"/>
  <c r="K99" i="7" s="1"/>
  <c r="L99" i="7" s="1"/>
  <c r="G101" i="7"/>
  <c r="H101" i="7" s="1"/>
  <c r="I101" i="7" s="1"/>
  <c r="J101" i="7" s="1"/>
  <c r="K101" i="7" s="1"/>
  <c r="L101" i="7" s="1"/>
  <c r="J104" i="7"/>
  <c r="K104" i="7" s="1"/>
  <c r="L104" i="7" s="1"/>
  <c r="D75" i="7"/>
  <c r="D79" i="7"/>
  <c r="D83" i="7"/>
  <c r="D87" i="7"/>
  <c r="D91" i="7"/>
  <c r="D76" i="7"/>
  <c r="D80" i="7"/>
  <c r="D84" i="7"/>
  <c r="D88" i="7"/>
  <c r="D92" i="7"/>
  <c r="D73" i="7"/>
  <c r="D77" i="7"/>
  <c r="D81" i="7"/>
  <c r="D85" i="7"/>
  <c r="D89" i="7"/>
  <c r="D72" i="7"/>
  <c r="D74" i="7"/>
  <c r="D78" i="7"/>
  <c r="D82" i="7"/>
  <c r="D86" i="7"/>
  <c r="D90" i="7"/>
  <c r="E59" i="7"/>
  <c r="F59" i="7" s="1"/>
  <c r="G59" i="7" s="1"/>
  <c r="H59" i="7" s="1"/>
  <c r="I59" i="7" s="1"/>
  <c r="J59" i="7" s="1"/>
  <c r="K59" i="7" s="1"/>
  <c r="L59" i="7" s="1"/>
  <c r="D98" i="7"/>
  <c r="E98" i="7" s="1"/>
  <c r="F98" i="7" s="1"/>
  <c r="G98" i="7" s="1"/>
  <c r="H98" i="7" s="1"/>
  <c r="I98" i="7" s="1"/>
  <c r="J98" i="7" s="1"/>
  <c r="K98" i="7" s="1"/>
  <c r="L98" i="7" s="1"/>
  <c r="D52" i="7"/>
  <c r="D48" i="7"/>
  <c r="D44" i="7"/>
  <c r="D40" i="7"/>
  <c r="D36" i="7"/>
  <c r="D45" i="7"/>
  <c r="D51" i="7"/>
  <c r="D47" i="7"/>
  <c r="D43" i="7"/>
  <c r="D39" i="7"/>
  <c r="D35" i="7"/>
  <c r="D32" i="7"/>
  <c r="D49" i="7"/>
  <c r="D41" i="7"/>
  <c r="D37" i="7"/>
  <c r="D33" i="7"/>
  <c r="D50" i="7"/>
  <c r="D46" i="7"/>
  <c r="D42" i="7"/>
  <c r="D38" i="7"/>
  <c r="K33" i="9"/>
  <c r="L33" i="9"/>
  <c r="K34" i="9"/>
  <c r="L34" i="9"/>
  <c r="K35" i="9"/>
  <c r="L35" i="9"/>
  <c r="K36" i="9"/>
  <c r="L36" i="9"/>
  <c r="K37" i="9"/>
  <c r="L37" i="9"/>
  <c r="K38" i="9"/>
  <c r="L38" i="9"/>
  <c r="K39" i="9"/>
  <c r="L39" i="9"/>
  <c r="K40" i="9"/>
  <c r="L40" i="9"/>
  <c r="K41" i="9"/>
  <c r="L41" i="9"/>
  <c r="K42" i="9"/>
  <c r="L42" i="9"/>
  <c r="K43" i="9"/>
  <c r="L43" i="9"/>
  <c r="K44" i="9"/>
  <c r="L44" i="9"/>
  <c r="K45" i="9"/>
  <c r="L45" i="9"/>
  <c r="K46" i="9"/>
  <c r="L46" i="9"/>
  <c r="K47" i="9"/>
  <c r="L47" i="9"/>
  <c r="K48" i="9"/>
  <c r="L48" i="9"/>
  <c r="K49" i="9"/>
  <c r="L49" i="9"/>
  <c r="K50" i="9"/>
  <c r="L50" i="9"/>
  <c r="K51" i="9"/>
  <c r="L51" i="9"/>
  <c r="K52" i="9"/>
  <c r="L52" i="9"/>
  <c r="L32" i="9"/>
  <c r="K32" i="9"/>
  <c r="E33" i="9"/>
  <c r="F33" i="9"/>
  <c r="E34" i="9"/>
  <c r="F34" i="9"/>
  <c r="E35" i="9"/>
  <c r="F35" i="9"/>
  <c r="E36" i="9"/>
  <c r="F36" i="9"/>
  <c r="E37" i="9"/>
  <c r="F37" i="9"/>
  <c r="E38" i="9"/>
  <c r="F38" i="9"/>
  <c r="E39" i="9"/>
  <c r="F39" i="9"/>
  <c r="E40" i="9"/>
  <c r="F40" i="9"/>
  <c r="E41" i="9"/>
  <c r="F41" i="9"/>
  <c r="E42" i="9"/>
  <c r="F42" i="9"/>
  <c r="E43" i="9"/>
  <c r="F43" i="9"/>
  <c r="E44" i="9"/>
  <c r="F44" i="9"/>
  <c r="E45" i="9"/>
  <c r="F45" i="9"/>
  <c r="E46" i="9"/>
  <c r="F46" i="9"/>
  <c r="E47" i="9"/>
  <c r="F47" i="9"/>
  <c r="E48" i="9"/>
  <c r="F48" i="9"/>
  <c r="E49" i="9"/>
  <c r="F49" i="9"/>
  <c r="E50" i="9"/>
  <c r="F50" i="9"/>
  <c r="E51" i="9"/>
  <c r="F51" i="9"/>
  <c r="E52" i="9"/>
  <c r="F52" i="9"/>
  <c r="F32" i="9"/>
  <c r="E32" i="9"/>
  <c r="H33" i="9"/>
  <c r="H34" i="9"/>
  <c r="H35" i="9"/>
  <c r="H36" i="9"/>
  <c r="H37" i="9"/>
  <c r="H38" i="9"/>
  <c r="H39" i="9"/>
  <c r="H40" i="9"/>
  <c r="H41" i="9"/>
  <c r="H42" i="9"/>
  <c r="I43" i="9" s="1"/>
  <c r="H43" i="9"/>
  <c r="H44" i="9"/>
  <c r="H45" i="9"/>
  <c r="H46" i="9"/>
  <c r="H47" i="9"/>
  <c r="H48" i="9"/>
  <c r="H49" i="9"/>
  <c r="H50" i="9"/>
  <c r="H51" i="9"/>
  <c r="H52" i="9"/>
  <c r="D14" i="9" s="1"/>
  <c r="H32" i="9"/>
  <c r="I32" i="9" s="1"/>
  <c r="I54" i="9"/>
  <c r="J54" i="9" s="1"/>
  <c r="I37" i="9" l="1"/>
  <c r="D58" i="7"/>
  <c r="E58" i="7" s="1"/>
  <c r="F58" i="7" s="1"/>
  <c r="G58" i="7" s="1"/>
  <c r="H58" i="7" s="1"/>
  <c r="I58" i="7" s="1"/>
  <c r="J58" i="7" s="1"/>
  <c r="K58" i="7" s="1"/>
  <c r="L58" i="7" s="1"/>
  <c r="E13" i="7"/>
  <c r="E94" i="7" s="1"/>
  <c r="O94" i="7" s="1"/>
  <c r="G94" i="7" s="1"/>
  <c r="E84" i="7"/>
  <c r="O84" i="7" s="1"/>
  <c r="G84" i="7" s="1"/>
  <c r="E73" i="7"/>
  <c r="O73" i="7" s="1"/>
  <c r="G73" i="7" s="1"/>
  <c r="E83" i="7"/>
  <c r="O83" i="7" s="1"/>
  <c r="G83" i="7" s="1"/>
  <c r="E79" i="7"/>
  <c r="O79" i="7" s="1"/>
  <c r="E89" i="7"/>
  <c r="O89" i="7" s="1"/>
  <c r="E76" i="7"/>
  <c r="O76" i="7" s="1"/>
  <c r="J64" i="7"/>
  <c r="K64" i="7" s="1"/>
  <c r="L64" i="7" s="1"/>
  <c r="H62" i="7"/>
  <c r="I62" i="7" s="1"/>
  <c r="J62" i="7" s="1"/>
  <c r="K62" i="7" s="1"/>
  <c r="L62" i="7" s="1"/>
  <c r="E81" i="7"/>
  <c r="O81" i="7" s="1"/>
  <c r="E91" i="7"/>
  <c r="O91" i="7" s="1"/>
  <c r="C61" i="7"/>
  <c r="D60" i="7"/>
  <c r="E12" i="7"/>
  <c r="I42" i="9"/>
  <c r="I34" i="9"/>
  <c r="I48" i="9"/>
  <c r="I36" i="9"/>
  <c r="I45" i="9"/>
  <c r="I39" i="9"/>
  <c r="I46" i="9"/>
  <c r="I50" i="9"/>
  <c r="I52" i="9"/>
  <c r="I40" i="9"/>
  <c r="I35" i="9"/>
  <c r="I51" i="9"/>
  <c r="I38" i="9"/>
  <c r="I49" i="9"/>
  <c r="I44" i="9"/>
  <c r="I47" i="9"/>
  <c r="I33" i="9"/>
  <c r="I41" i="9"/>
  <c r="C54" i="9"/>
  <c r="D54" i="9" s="1"/>
  <c r="B33" i="9"/>
  <c r="B34" i="9"/>
  <c r="B35" i="9"/>
  <c r="B36" i="9"/>
  <c r="B37" i="9"/>
  <c r="B38" i="9"/>
  <c r="B39" i="9"/>
  <c r="B40" i="9"/>
  <c r="B41" i="9"/>
  <c r="B42" i="9"/>
  <c r="B43" i="9"/>
  <c r="B44" i="9"/>
  <c r="B45" i="9"/>
  <c r="B46" i="9"/>
  <c r="B47" i="9"/>
  <c r="B48" i="9"/>
  <c r="B49" i="9"/>
  <c r="B50" i="9"/>
  <c r="B51" i="9"/>
  <c r="B52" i="9"/>
  <c r="D13" i="9" s="1"/>
  <c r="B32" i="9"/>
  <c r="E90" i="7" l="1"/>
  <c r="O90" i="7" s="1"/>
  <c r="E88" i="7"/>
  <c r="O88" i="7" s="1"/>
  <c r="E82" i="7"/>
  <c r="O82" i="7" s="1"/>
  <c r="E78" i="7"/>
  <c r="O78" i="7" s="1"/>
  <c r="E80" i="7"/>
  <c r="O80" i="7" s="1"/>
  <c r="E77" i="7"/>
  <c r="O77" i="7" s="1"/>
  <c r="E87" i="7"/>
  <c r="O87" i="7" s="1"/>
  <c r="G87" i="7" s="1"/>
  <c r="E92" i="7"/>
  <c r="O92" i="7" s="1"/>
  <c r="E86" i="7"/>
  <c r="O86" i="7" s="1"/>
  <c r="G86" i="7" s="1"/>
  <c r="C62" i="7"/>
  <c r="D61" i="7"/>
  <c r="E61" i="7" s="1"/>
  <c r="E85" i="7"/>
  <c r="O85" i="7" s="1"/>
  <c r="G85" i="7" s="1"/>
  <c r="E74" i="7"/>
  <c r="O74" i="7" s="1"/>
  <c r="G74" i="7" s="1"/>
  <c r="E75" i="7"/>
  <c r="O75" i="7" s="1"/>
  <c r="G75" i="7" s="1"/>
  <c r="C52" i="9"/>
  <c r="D52" i="9" s="1"/>
  <c r="H23" i="4" s="1"/>
  <c r="B23" i="4"/>
  <c r="C23" i="4"/>
  <c r="C63" i="7" l="1"/>
  <c r="D62" i="7"/>
  <c r="E62" i="7" s="1"/>
  <c r="F62" i="7" s="1"/>
  <c r="C23" i="2"/>
  <c r="B23" i="2"/>
  <c r="D16" i="15"/>
  <c r="D17" i="15"/>
  <c r="D18" i="15"/>
  <c r="D19" i="15"/>
  <c r="D20" i="15"/>
  <c r="D21" i="15"/>
  <c r="D22" i="15"/>
  <c r="D23" i="15"/>
  <c r="D24" i="15"/>
  <c r="D25" i="15"/>
  <c r="D26" i="15"/>
  <c r="D27" i="15"/>
  <c r="D28" i="15"/>
  <c r="D29" i="15"/>
  <c r="D30" i="15"/>
  <c r="D31" i="15"/>
  <c r="D32" i="15"/>
  <c r="D33" i="15"/>
  <c r="D34" i="15"/>
  <c r="D15" i="15"/>
  <c r="D35" i="15"/>
  <c r="D13" i="15" s="1"/>
  <c r="B35" i="15"/>
  <c r="D12" i="15" s="1"/>
  <c r="B16" i="15"/>
  <c r="B17" i="15"/>
  <c r="B18" i="15"/>
  <c r="B19" i="15"/>
  <c r="B20" i="15"/>
  <c r="B21" i="15"/>
  <c r="B22" i="15"/>
  <c r="B23" i="15"/>
  <c r="B24" i="15"/>
  <c r="B25" i="15"/>
  <c r="B26" i="15"/>
  <c r="B27" i="15"/>
  <c r="B28" i="15"/>
  <c r="B29" i="15"/>
  <c r="B30" i="15"/>
  <c r="B31" i="15"/>
  <c r="B32" i="15"/>
  <c r="B33" i="15"/>
  <c r="B34" i="15"/>
  <c r="B15" i="15"/>
  <c r="C64" i="7" l="1"/>
  <c r="D63" i="7"/>
  <c r="E63" i="7" s="1"/>
  <c r="F63" i="7" s="1"/>
  <c r="G63" i="7" s="1"/>
  <c r="P78" i="19"/>
  <c r="O78" i="19"/>
  <c r="B78" i="19"/>
  <c r="P77" i="19"/>
  <c r="O77" i="19"/>
  <c r="B77" i="19"/>
  <c r="P76" i="19"/>
  <c r="O76" i="19"/>
  <c r="B76" i="19"/>
  <c r="P75" i="19"/>
  <c r="O75" i="19"/>
  <c r="B75" i="19"/>
  <c r="P74" i="19"/>
  <c r="O74" i="19"/>
  <c r="B74" i="19"/>
  <c r="P73" i="19"/>
  <c r="O73" i="19"/>
  <c r="B73" i="19"/>
  <c r="P72" i="19"/>
  <c r="O72" i="19"/>
  <c r="B72" i="19"/>
  <c r="P71" i="19"/>
  <c r="O71" i="19"/>
  <c r="B71" i="19"/>
  <c r="P70" i="19"/>
  <c r="O70" i="19"/>
  <c r="B70" i="19"/>
  <c r="P69" i="19"/>
  <c r="O69" i="19"/>
  <c r="B69" i="19"/>
  <c r="P68" i="19"/>
  <c r="O68" i="19"/>
  <c r="B68" i="19"/>
  <c r="P67" i="19"/>
  <c r="O67" i="19"/>
  <c r="B67" i="19"/>
  <c r="P66" i="19"/>
  <c r="O66" i="19"/>
  <c r="B66" i="19"/>
  <c r="P65" i="19"/>
  <c r="O65" i="19"/>
  <c r="B65" i="19"/>
  <c r="P64" i="19"/>
  <c r="O64" i="19"/>
  <c r="B64" i="19"/>
  <c r="P63" i="19"/>
  <c r="O63" i="19"/>
  <c r="B63" i="19"/>
  <c r="P62" i="19"/>
  <c r="O62" i="19"/>
  <c r="B62" i="19"/>
  <c r="P61" i="19"/>
  <c r="O61" i="19"/>
  <c r="B61" i="19"/>
  <c r="P60" i="19"/>
  <c r="O60" i="19"/>
  <c r="B60" i="19"/>
  <c r="P59" i="19"/>
  <c r="O59" i="19"/>
  <c r="B59" i="19"/>
  <c r="P58" i="19"/>
  <c r="O58" i="19"/>
  <c r="B58" i="19"/>
  <c r="B52" i="19"/>
  <c r="P51" i="19"/>
  <c r="O51" i="19"/>
  <c r="B51" i="19"/>
  <c r="P50" i="19"/>
  <c r="O50" i="19"/>
  <c r="B50" i="19"/>
  <c r="P49" i="19"/>
  <c r="O49" i="19"/>
  <c r="B49" i="19"/>
  <c r="P48" i="19"/>
  <c r="O48" i="19"/>
  <c r="B48" i="19"/>
  <c r="P47" i="19"/>
  <c r="O47" i="19"/>
  <c r="B47" i="19"/>
  <c r="P46" i="19"/>
  <c r="O46" i="19"/>
  <c r="B46" i="19"/>
  <c r="P45" i="19"/>
  <c r="O45" i="19"/>
  <c r="B45" i="19"/>
  <c r="P44" i="19"/>
  <c r="O44" i="19"/>
  <c r="B44" i="19"/>
  <c r="P43" i="19"/>
  <c r="O43" i="19"/>
  <c r="B43" i="19"/>
  <c r="P42" i="19"/>
  <c r="O42" i="19"/>
  <c r="B42" i="19"/>
  <c r="P41" i="19"/>
  <c r="O41" i="19"/>
  <c r="B41" i="19"/>
  <c r="P40" i="19"/>
  <c r="O40" i="19"/>
  <c r="B40" i="19"/>
  <c r="P39" i="19"/>
  <c r="O39" i="19"/>
  <c r="B39" i="19"/>
  <c r="P38" i="19"/>
  <c r="O38" i="19"/>
  <c r="B38" i="19"/>
  <c r="P37" i="19"/>
  <c r="O37" i="19"/>
  <c r="B37" i="19"/>
  <c r="P36" i="19"/>
  <c r="O36" i="19"/>
  <c r="B36" i="19"/>
  <c r="P35" i="19"/>
  <c r="O35" i="19"/>
  <c r="B35" i="19"/>
  <c r="P34" i="19"/>
  <c r="O34" i="19"/>
  <c r="B34" i="19"/>
  <c r="P33" i="19"/>
  <c r="O33" i="19"/>
  <c r="B33" i="19"/>
  <c r="P32" i="19"/>
  <c r="O32" i="19"/>
  <c r="B32" i="19"/>
  <c r="E13" i="19"/>
  <c r="D13" i="19"/>
  <c r="C80" i="19" s="1"/>
  <c r="E80" i="19" s="1"/>
  <c r="E12" i="19"/>
  <c r="D12" i="19"/>
  <c r="C47" i="19" s="1"/>
  <c r="E47" i="19" s="1"/>
  <c r="H5" i="19"/>
  <c r="G5" i="19"/>
  <c r="F5" i="19"/>
  <c r="C65" i="7" l="1"/>
  <c r="D64" i="7"/>
  <c r="E64" i="7" s="1"/>
  <c r="F64" i="7" s="1"/>
  <c r="G64" i="7" s="1"/>
  <c r="H64" i="7" s="1"/>
  <c r="C64" i="19"/>
  <c r="E64" i="19" s="1"/>
  <c r="C72" i="19"/>
  <c r="E72" i="19" s="1"/>
  <c r="C59" i="19"/>
  <c r="E59" i="19" s="1"/>
  <c r="C67" i="19"/>
  <c r="E67" i="19" s="1"/>
  <c r="C60" i="19"/>
  <c r="E60" i="19" s="1"/>
  <c r="C68" i="19"/>
  <c r="E68" i="19" s="1"/>
  <c r="C63" i="19"/>
  <c r="E63" i="19" s="1"/>
  <c r="C71" i="19"/>
  <c r="E71" i="19" s="1"/>
  <c r="C76" i="19"/>
  <c r="E76" i="19" s="1"/>
  <c r="C62" i="19"/>
  <c r="E62" i="19" s="1"/>
  <c r="C70" i="19"/>
  <c r="E70" i="19" s="1"/>
  <c r="C78" i="19"/>
  <c r="E78" i="19" s="1"/>
  <c r="C37" i="19"/>
  <c r="E37" i="19" s="1"/>
  <c r="C45" i="19"/>
  <c r="E45" i="19" s="1"/>
  <c r="C32" i="19"/>
  <c r="C40" i="19"/>
  <c r="E40" i="19" s="1"/>
  <c r="C48" i="19"/>
  <c r="E48" i="19" s="1"/>
  <c r="F48" i="19" s="1"/>
  <c r="C35" i="19"/>
  <c r="E35" i="19" s="1"/>
  <c r="C51" i="19"/>
  <c r="E51" i="19" s="1"/>
  <c r="C46" i="19"/>
  <c r="C38" i="19"/>
  <c r="E38" i="19" s="1"/>
  <c r="C33" i="19"/>
  <c r="E33" i="19" s="1"/>
  <c r="C41" i="19"/>
  <c r="E41" i="19" s="1"/>
  <c r="C49" i="19"/>
  <c r="E49" i="19" s="1"/>
  <c r="C43" i="19"/>
  <c r="E43" i="19" s="1"/>
  <c r="C36" i="19"/>
  <c r="C52" i="19"/>
  <c r="E52" i="19" s="1"/>
  <c r="F52" i="19" s="1"/>
  <c r="C54" i="19"/>
  <c r="E54" i="19" s="1"/>
  <c r="C61" i="19"/>
  <c r="E61" i="19" s="1"/>
  <c r="C69" i="19"/>
  <c r="E69" i="19" s="1"/>
  <c r="C50" i="19"/>
  <c r="E50" i="19" s="1"/>
  <c r="C44" i="19"/>
  <c r="E44" i="19" s="1"/>
  <c r="C34" i="19"/>
  <c r="E34" i="19" s="1"/>
  <c r="C42" i="19"/>
  <c r="E42" i="19" s="1"/>
  <c r="C58" i="19"/>
  <c r="C77" i="19"/>
  <c r="E77" i="19" s="1"/>
  <c r="C65" i="19"/>
  <c r="E65" i="19" s="1"/>
  <c r="C73" i="19"/>
  <c r="E73" i="19" s="1"/>
  <c r="C39" i="19"/>
  <c r="E39" i="19" s="1"/>
  <c r="C66" i="19"/>
  <c r="E66" i="19" s="1"/>
  <c r="C74" i="19"/>
  <c r="E74" i="19" s="1"/>
  <c r="C75" i="19"/>
  <c r="E75" i="19" s="1"/>
  <c r="O59" i="16"/>
  <c r="P59" i="16"/>
  <c r="O60" i="16"/>
  <c r="P60" i="16"/>
  <c r="O61" i="16"/>
  <c r="P61" i="16"/>
  <c r="O62" i="16"/>
  <c r="P62" i="16"/>
  <c r="O63" i="16"/>
  <c r="P63" i="16"/>
  <c r="O64" i="16"/>
  <c r="P64" i="16"/>
  <c r="O65" i="16"/>
  <c r="P65" i="16"/>
  <c r="O66" i="16"/>
  <c r="P66" i="16"/>
  <c r="O67" i="16"/>
  <c r="P67" i="16"/>
  <c r="O68" i="16"/>
  <c r="P68" i="16"/>
  <c r="O69" i="16"/>
  <c r="P69" i="16"/>
  <c r="O70" i="16"/>
  <c r="P70" i="16"/>
  <c r="O71" i="16"/>
  <c r="P71" i="16"/>
  <c r="O72" i="16"/>
  <c r="P72" i="16"/>
  <c r="O73" i="16"/>
  <c r="P73" i="16"/>
  <c r="O74" i="16"/>
  <c r="P74" i="16"/>
  <c r="O75" i="16"/>
  <c r="P75" i="16"/>
  <c r="O76" i="16"/>
  <c r="P76" i="16"/>
  <c r="O77" i="16"/>
  <c r="P77" i="16"/>
  <c r="O78" i="16"/>
  <c r="P78" i="16"/>
  <c r="P58" i="16"/>
  <c r="O58" i="16"/>
  <c r="O59" i="18"/>
  <c r="P59" i="18"/>
  <c r="O60" i="18"/>
  <c r="P60" i="18"/>
  <c r="O61" i="18"/>
  <c r="P61" i="18"/>
  <c r="O62" i="18"/>
  <c r="P62" i="18"/>
  <c r="O63" i="18"/>
  <c r="P63" i="18"/>
  <c r="O64" i="18"/>
  <c r="P64" i="18"/>
  <c r="O65" i="18"/>
  <c r="P65" i="18"/>
  <c r="O66" i="18"/>
  <c r="P66" i="18"/>
  <c r="O67" i="18"/>
  <c r="P67" i="18"/>
  <c r="O68" i="18"/>
  <c r="P68" i="18"/>
  <c r="O69" i="18"/>
  <c r="P69" i="18"/>
  <c r="O70" i="18"/>
  <c r="P70" i="18"/>
  <c r="O71" i="18"/>
  <c r="P71" i="18"/>
  <c r="O72" i="18"/>
  <c r="P72" i="18"/>
  <c r="O73" i="18"/>
  <c r="P73" i="18"/>
  <c r="O74" i="18"/>
  <c r="P74" i="18"/>
  <c r="O75" i="18"/>
  <c r="P75" i="18"/>
  <c r="O76" i="18"/>
  <c r="P76" i="18"/>
  <c r="O77" i="18"/>
  <c r="P77" i="18"/>
  <c r="O78" i="18"/>
  <c r="P78" i="18"/>
  <c r="P58" i="18"/>
  <c r="O58" i="18"/>
  <c r="B78" i="18"/>
  <c r="D13" i="18" s="1"/>
  <c r="B77" i="18"/>
  <c r="B76" i="18"/>
  <c r="B75" i="18"/>
  <c r="B74" i="18"/>
  <c r="B73" i="18"/>
  <c r="B72" i="18"/>
  <c r="B71" i="18"/>
  <c r="B70" i="18"/>
  <c r="B69" i="18"/>
  <c r="B68" i="18"/>
  <c r="B67" i="18"/>
  <c r="B66" i="18"/>
  <c r="B65" i="18"/>
  <c r="B64" i="18"/>
  <c r="B63" i="18"/>
  <c r="B62" i="18"/>
  <c r="B61" i="18"/>
  <c r="B60" i="18"/>
  <c r="B59" i="18"/>
  <c r="B58" i="18"/>
  <c r="B52" i="18"/>
  <c r="P51" i="18"/>
  <c r="O51" i="18"/>
  <c r="B51" i="18"/>
  <c r="P50" i="18"/>
  <c r="O50" i="18"/>
  <c r="B50" i="18"/>
  <c r="P49" i="18"/>
  <c r="O49" i="18"/>
  <c r="B49" i="18"/>
  <c r="P48" i="18"/>
  <c r="O48" i="18"/>
  <c r="B48" i="18"/>
  <c r="P47" i="18"/>
  <c r="O47" i="18"/>
  <c r="B47" i="18"/>
  <c r="P46" i="18"/>
  <c r="O46" i="18"/>
  <c r="B46" i="18"/>
  <c r="P45" i="18"/>
  <c r="O45" i="18"/>
  <c r="B45" i="18"/>
  <c r="P44" i="18"/>
  <c r="O44" i="18"/>
  <c r="B44" i="18"/>
  <c r="P43" i="18"/>
  <c r="O43" i="18"/>
  <c r="B43" i="18"/>
  <c r="P42" i="18"/>
  <c r="O42" i="18"/>
  <c r="B42" i="18"/>
  <c r="P41" i="18"/>
  <c r="O41" i="18"/>
  <c r="B41" i="18"/>
  <c r="P40" i="18"/>
  <c r="O40" i="18"/>
  <c r="B40" i="18"/>
  <c r="P39" i="18"/>
  <c r="O39" i="18"/>
  <c r="B39" i="18"/>
  <c r="P38" i="18"/>
  <c r="O38" i="18"/>
  <c r="B38" i="18"/>
  <c r="P37" i="18"/>
  <c r="O37" i="18"/>
  <c r="B37" i="18"/>
  <c r="P36" i="18"/>
  <c r="O36" i="18"/>
  <c r="B36" i="18"/>
  <c r="P35" i="18"/>
  <c r="O35" i="18"/>
  <c r="B35" i="18"/>
  <c r="P34" i="18"/>
  <c r="O34" i="18"/>
  <c r="B34" i="18"/>
  <c r="P33" i="18"/>
  <c r="O33" i="18"/>
  <c r="B33" i="18"/>
  <c r="P32" i="18"/>
  <c r="O32" i="18"/>
  <c r="B32" i="18"/>
  <c r="E13" i="18"/>
  <c r="E12" i="18"/>
  <c r="D12" i="18"/>
  <c r="C47" i="18" s="1"/>
  <c r="E47" i="18" s="1"/>
  <c r="H5" i="18"/>
  <c r="G5" i="18"/>
  <c r="F5" i="18"/>
  <c r="B59" i="17"/>
  <c r="B60" i="17"/>
  <c r="B61" i="17"/>
  <c r="B62" i="17"/>
  <c r="B63" i="17"/>
  <c r="B64" i="17"/>
  <c r="B65" i="17"/>
  <c r="B66" i="17"/>
  <c r="B67" i="17"/>
  <c r="B68" i="17"/>
  <c r="B69" i="17"/>
  <c r="B70" i="17"/>
  <c r="B71" i="17"/>
  <c r="B72" i="17"/>
  <c r="B73" i="17"/>
  <c r="B74" i="17"/>
  <c r="B75" i="17"/>
  <c r="B76" i="17"/>
  <c r="B77" i="17"/>
  <c r="B78" i="17"/>
  <c r="D13" i="17" s="1"/>
  <c r="C3" i="13"/>
  <c r="C3" i="17"/>
  <c r="D75" i="17" s="1"/>
  <c r="B58" i="17"/>
  <c r="B52" i="17"/>
  <c r="D12" i="17" s="1"/>
  <c r="P51" i="17"/>
  <c r="O51" i="17"/>
  <c r="B51" i="17"/>
  <c r="P50" i="17"/>
  <c r="O50" i="17"/>
  <c r="B50" i="17"/>
  <c r="P49" i="17"/>
  <c r="O49" i="17"/>
  <c r="B49" i="17"/>
  <c r="P48" i="17"/>
  <c r="O48" i="17"/>
  <c r="B48" i="17"/>
  <c r="P47" i="17"/>
  <c r="O47" i="17"/>
  <c r="B47" i="17"/>
  <c r="P46" i="17"/>
  <c r="O46" i="17"/>
  <c r="B46" i="17"/>
  <c r="P45" i="17"/>
  <c r="O45" i="17"/>
  <c r="B45" i="17"/>
  <c r="P44" i="17"/>
  <c r="O44" i="17"/>
  <c r="B44" i="17"/>
  <c r="P43" i="17"/>
  <c r="O43" i="17"/>
  <c r="B43" i="17"/>
  <c r="P42" i="17"/>
  <c r="O42" i="17"/>
  <c r="B42" i="17"/>
  <c r="P41" i="17"/>
  <c r="O41" i="17"/>
  <c r="B41" i="17"/>
  <c r="P40" i="17"/>
  <c r="O40" i="17"/>
  <c r="B40" i="17"/>
  <c r="P39" i="17"/>
  <c r="O39" i="17"/>
  <c r="B39" i="17"/>
  <c r="P38" i="17"/>
  <c r="O38" i="17"/>
  <c r="B38" i="17"/>
  <c r="P37" i="17"/>
  <c r="O37" i="17"/>
  <c r="B37" i="17"/>
  <c r="P36" i="17"/>
  <c r="O36" i="17"/>
  <c r="B36" i="17"/>
  <c r="P35" i="17"/>
  <c r="O35" i="17"/>
  <c r="B35" i="17"/>
  <c r="P34" i="17"/>
  <c r="O34" i="17"/>
  <c r="B34" i="17"/>
  <c r="P33" i="17"/>
  <c r="O33" i="17"/>
  <c r="B33" i="17"/>
  <c r="P32" i="17"/>
  <c r="O32" i="17"/>
  <c r="B32" i="17"/>
  <c r="H5" i="17"/>
  <c r="G5" i="17"/>
  <c r="F5" i="17"/>
  <c r="C2" i="17"/>
  <c r="D34" i="17" s="1"/>
  <c r="C66" i="7" l="1"/>
  <c r="D65" i="7"/>
  <c r="E65" i="7" s="1"/>
  <c r="F65" i="7" s="1"/>
  <c r="G65" i="7" s="1"/>
  <c r="H65" i="7" s="1"/>
  <c r="I65" i="7" s="1"/>
  <c r="C73" i="18"/>
  <c r="E73" i="18" s="1"/>
  <c r="D61" i="17"/>
  <c r="D48" i="17"/>
  <c r="D76" i="17"/>
  <c r="D41" i="17"/>
  <c r="D40" i="17"/>
  <c r="D37" i="17"/>
  <c r="D52" i="17"/>
  <c r="D36" i="17"/>
  <c r="D49" i="17"/>
  <c r="D33" i="17"/>
  <c r="D62" i="17"/>
  <c r="D45" i="17"/>
  <c r="D72" i="17"/>
  <c r="D44" i="17"/>
  <c r="F60" i="19"/>
  <c r="F71" i="19"/>
  <c r="F68" i="19"/>
  <c r="F63" i="19"/>
  <c r="F64" i="19"/>
  <c r="F72" i="19"/>
  <c r="F78" i="19"/>
  <c r="C58" i="18"/>
  <c r="E58" i="18" s="1"/>
  <c r="G58" i="18" s="1"/>
  <c r="K3" i="4" s="1"/>
  <c r="C62" i="18"/>
  <c r="E62" i="18" s="1"/>
  <c r="C66" i="18"/>
  <c r="E66" i="18" s="1"/>
  <c r="C70" i="18"/>
  <c r="E70" i="18" s="1"/>
  <c r="C74" i="18"/>
  <c r="E74" i="18" s="1"/>
  <c r="F74" i="18" s="1"/>
  <c r="C78" i="18"/>
  <c r="E78" i="18" s="1"/>
  <c r="C59" i="18"/>
  <c r="E59" i="18" s="1"/>
  <c r="C63" i="18"/>
  <c r="E63" i="18" s="1"/>
  <c r="C67" i="18"/>
  <c r="E67" i="18" s="1"/>
  <c r="C71" i="18"/>
  <c r="E71" i="18" s="1"/>
  <c r="C75" i="18"/>
  <c r="E75" i="18" s="1"/>
  <c r="C80" i="18"/>
  <c r="E80" i="18" s="1"/>
  <c r="E58" i="19"/>
  <c r="G58" i="19" s="1"/>
  <c r="C54" i="17"/>
  <c r="D65" i="17"/>
  <c r="D77" i="17"/>
  <c r="D51" i="17"/>
  <c r="D47" i="17"/>
  <c r="D43" i="17"/>
  <c r="D39" i="17"/>
  <c r="D35" i="17"/>
  <c r="C60" i="18"/>
  <c r="E60" i="18" s="1"/>
  <c r="C64" i="18"/>
  <c r="E64" i="18" s="1"/>
  <c r="C68" i="18"/>
  <c r="E68" i="18" s="1"/>
  <c r="C72" i="18"/>
  <c r="E72" i="18" s="1"/>
  <c r="F73" i="18" s="1"/>
  <c r="C76" i="18"/>
  <c r="E76" i="18" s="1"/>
  <c r="F70" i="19"/>
  <c r="D58" i="17"/>
  <c r="D66" i="17"/>
  <c r="D32" i="17"/>
  <c r="D50" i="17"/>
  <c r="D46" i="17"/>
  <c r="D42" i="17"/>
  <c r="D38" i="17"/>
  <c r="C61" i="18"/>
  <c r="E61" i="18" s="1"/>
  <c r="C69" i="18"/>
  <c r="E69" i="18" s="1"/>
  <c r="C77" i="18"/>
  <c r="E77" i="18" s="1"/>
  <c r="F62" i="19"/>
  <c r="F54" i="19"/>
  <c r="E46" i="19"/>
  <c r="F46" i="19" s="1"/>
  <c r="E36" i="19"/>
  <c r="F36" i="19" s="1"/>
  <c r="E32" i="19"/>
  <c r="F33" i="19" s="1"/>
  <c r="F49" i="19"/>
  <c r="F40" i="19"/>
  <c r="F41" i="19"/>
  <c r="F38" i="19"/>
  <c r="F34" i="19"/>
  <c r="F75" i="19"/>
  <c r="F42" i="19"/>
  <c r="F66" i="19"/>
  <c r="F44" i="19"/>
  <c r="F67" i="19"/>
  <c r="F50" i="19"/>
  <c r="F74" i="19"/>
  <c r="F73" i="19"/>
  <c r="F69" i="19"/>
  <c r="F51" i="19"/>
  <c r="F43" i="19"/>
  <c r="F45" i="19"/>
  <c r="F65" i="19"/>
  <c r="F61" i="19"/>
  <c r="F77" i="19"/>
  <c r="F80" i="19"/>
  <c r="F76" i="19"/>
  <c r="F35" i="19"/>
  <c r="C34" i="18"/>
  <c r="E34" i="18" s="1"/>
  <c r="C32" i="18"/>
  <c r="E32" i="18" s="1"/>
  <c r="G32" i="18" s="1"/>
  <c r="J3" i="4" s="1"/>
  <c r="C52" i="18"/>
  <c r="E52" i="18" s="1"/>
  <c r="C54" i="18"/>
  <c r="E54" i="18" s="1"/>
  <c r="C42" i="18"/>
  <c r="E42" i="18" s="1"/>
  <c r="C50" i="18"/>
  <c r="E50" i="18" s="1"/>
  <c r="C40" i="18"/>
  <c r="E40" i="18" s="1"/>
  <c r="C38" i="18"/>
  <c r="E38" i="18" s="1"/>
  <c r="C48" i="18"/>
  <c r="E48" i="18" s="1"/>
  <c r="C33" i="18"/>
  <c r="E33" i="18" s="1"/>
  <c r="C46" i="18"/>
  <c r="E46" i="18" s="1"/>
  <c r="F47" i="18" s="1"/>
  <c r="C51" i="18"/>
  <c r="E51" i="18" s="1"/>
  <c r="C41" i="18"/>
  <c r="E41" i="18" s="1"/>
  <c r="C49" i="18"/>
  <c r="E49" i="18" s="1"/>
  <c r="C65" i="18"/>
  <c r="E65" i="18" s="1"/>
  <c r="C35" i="18"/>
  <c r="E35" i="18" s="1"/>
  <c r="C43" i="18"/>
  <c r="E43" i="18" s="1"/>
  <c r="C36" i="18"/>
  <c r="E36" i="18" s="1"/>
  <c r="C44" i="18"/>
  <c r="E44" i="18" s="1"/>
  <c r="C37" i="18"/>
  <c r="E37" i="18" s="1"/>
  <c r="C45" i="18"/>
  <c r="E45" i="18" s="1"/>
  <c r="C39" i="18"/>
  <c r="E39" i="18" s="1"/>
  <c r="C71" i="17"/>
  <c r="C40" i="17"/>
  <c r="D68" i="17"/>
  <c r="D73" i="17"/>
  <c r="D64" i="17"/>
  <c r="D60" i="17"/>
  <c r="D69" i="17"/>
  <c r="D70" i="17"/>
  <c r="D74" i="17"/>
  <c r="D78" i="17"/>
  <c r="E13" i="17" s="1"/>
  <c r="D59" i="17"/>
  <c r="D63" i="17"/>
  <c r="D67" i="17"/>
  <c r="D71" i="17"/>
  <c r="C47" i="17"/>
  <c r="C60" i="17"/>
  <c r="C64" i="17"/>
  <c r="C68" i="17"/>
  <c r="C72" i="17"/>
  <c r="C76" i="17"/>
  <c r="C35" i="17"/>
  <c r="C44" i="17"/>
  <c r="C51" i="17"/>
  <c r="C61" i="17"/>
  <c r="C65" i="17"/>
  <c r="C69" i="17"/>
  <c r="C73" i="17"/>
  <c r="C77" i="17"/>
  <c r="C39" i="17"/>
  <c r="C48" i="17"/>
  <c r="C62" i="17"/>
  <c r="C66" i="17"/>
  <c r="C70" i="17"/>
  <c r="C74" i="17"/>
  <c r="C78" i="17"/>
  <c r="G78" i="17" s="1"/>
  <c r="C58" i="17"/>
  <c r="C32" i="17"/>
  <c r="C34" i="17"/>
  <c r="C41" i="17"/>
  <c r="C50" i="17"/>
  <c r="C42" i="17"/>
  <c r="C37" i="17"/>
  <c r="C36" i="17"/>
  <c r="C43" i="17"/>
  <c r="C52" i="17"/>
  <c r="G52" i="17" s="1"/>
  <c r="C59" i="17"/>
  <c r="C80" i="17"/>
  <c r="C33" i="17"/>
  <c r="C49" i="17"/>
  <c r="C46" i="17"/>
  <c r="C38" i="17"/>
  <c r="C45" i="17"/>
  <c r="C63" i="17"/>
  <c r="C75" i="17"/>
  <c r="C67" i="17"/>
  <c r="B78" i="16"/>
  <c r="D13" i="16" s="1"/>
  <c r="B77" i="16"/>
  <c r="B76" i="16"/>
  <c r="B75" i="16"/>
  <c r="B74" i="16"/>
  <c r="B73" i="16"/>
  <c r="B72" i="16"/>
  <c r="B71" i="16"/>
  <c r="B70" i="16"/>
  <c r="B69" i="16"/>
  <c r="B68" i="16"/>
  <c r="B67" i="16"/>
  <c r="B66" i="16"/>
  <c r="B65" i="16"/>
  <c r="B64" i="16"/>
  <c r="B63" i="16"/>
  <c r="B62" i="16"/>
  <c r="B61" i="16"/>
  <c r="B60" i="16"/>
  <c r="B59" i="16"/>
  <c r="B58" i="16"/>
  <c r="B52" i="16"/>
  <c r="D12" i="16" s="1"/>
  <c r="P51" i="16"/>
  <c r="O51" i="16"/>
  <c r="B51" i="16"/>
  <c r="P50" i="16"/>
  <c r="O50" i="16"/>
  <c r="B50" i="16"/>
  <c r="P49" i="16"/>
  <c r="O49" i="16"/>
  <c r="B49" i="16"/>
  <c r="P48" i="16"/>
  <c r="O48" i="16"/>
  <c r="B48" i="16"/>
  <c r="P47" i="16"/>
  <c r="O47" i="16"/>
  <c r="B47" i="16"/>
  <c r="P46" i="16"/>
  <c r="O46" i="16"/>
  <c r="B46" i="16"/>
  <c r="P45" i="16"/>
  <c r="O45" i="16"/>
  <c r="B45" i="16"/>
  <c r="P44" i="16"/>
  <c r="O44" i="16"/>
  <c r="B44" i="16"/>
  <c r="P43" i="16"/>
  <c r="O43" i="16"/>
  <c r="B43" i="16"/>
  <c r="P42" i="16"/>
  <c r="O42" i="16"/>
  <c r="B42" i="16"/>
  <c r="P41" i="16"/>
  <c r="O41" i="16"/>
  <c r="B41" i="16"/>
  <c r="P40" i="16"/>
  <c r="O40" i="16"/>
  <c r="B40" i="16"/>
  <c r="P39" i="16"/>
  <c r="O39" i="16"/>
  <c r="B39" i="16"/>
  <c r="P38" i="16"/>
  <c r="O38" i="16"/>
  <c r="B38" i="16"/>
  <c r="P37" i="16"/>
  <c r="O37" i="16"/>
  <c r="B37" i="16"/>
  <c r="P36" i="16"/>
  <c r="O36" i="16"/>
  <c r="B36" i="16"/>
  <c r="P35" i="16"/>
  <c r="O35" i="16"/>
  <c r="B35" i="16"/>
  <c r="P34" i="16"/>
  <c r="O34" i="16"/>
  <c r="B34" i="16"/>
  <c r="P33" i="16"/>
  <c r="O33" i="16"/>
  <c r="B33" i="16"/>
  <c r="P32" i="16"/>
  <c r="O32" i="16"/>
  <c r="B32" i="16"/>
  <c r="H5" i="16"/>
  <c r="G5" i="16"/>
  <c r="F5" i="16"/>
  <c r="H5" i="13"/>
  <c r="G5" i="13"/>
  <c r="D59" i="13"/>
  <c r="D60" i="13"/>
  <c r="D61" i="13"/>
  <c r="D62" i="13"/>
  <c r="D63" i="13"/>
  <c r="D64" i="13"/>
  <c r="D65" i="13"/>
  <c r="D66" i="13"/>
  <c r="D67" i="13"/>
  <c r="D68" i="13"/>
  <c r="D69" i="13"/>
  <c r="D70" i="13"/>
  <c r="D71" i="13"/>
  <c r="D72" i="13"/>
  <c r="D73" i="13"/>
  <c r="D74" i="13"/>
  <c r="D75" i="13"/>
  <c r="D76" i="13"/>
  <c r="D77" i="13"/>
  <c r="D78" i="13"/>
  <c r="E13" i="13" s="1"/>
  <c r="B59" i="13"/>
  <c r="B60" i="13"/>
  <c r="B61" i="13"/>
  <c r="B62" i="13"/>
  <c r="B63" i="13"/>
  <c r="B64" i="13"/>
  <c r="B65" i="13"/>
  <c r="B66" i="13"/>
  <c r="B67" i="13"/>
  <c r="B68" i="13"/>
  <c r="B69" i="13"/>
  <c r="B70" i="13"/>
  <c r="B71" i="13"/>
  <c r="B72" i="13"/>
  <c r="B73" i="13"/>
  <c r="B74" i="13"/>
  <c r="B75" i="13"/>
  <c r="B76" i="13"/>
  <c r="B77" i="13"/>
  <c r="B78" i="13"/>
  <c r="D13" i="13" s="1"/>
  <c r="D58" i="13"/>
  <c r="B58" i="13"/>
  <c r="F5" i="13"/>
  <c r="C2" i="13"/>
  <c r="B52" i="13"/>
  <c r="D12" i="13" s="1"/>
  <c r="H35" i="15"/>
  <c r="E23" i="4" s="1"/>
  <c r="G35" i="15"/>
  <c r="D23" i="4" s="1"/>
  <c r="H37" i="15"/>
  <c r="G37" i="15"/>
  <c r="G16" i="15"/>
  <c r="D4" i="4" s="1"/>
  <c r="H16" i="15"/>
  <c r="E4" i="4" s="1"/>
  <c r="G17" i="15"/>
  <c r="D5" i="4" s="1"/>
  <c r="H17" i="15"/>
  <c r="E5" i="4" s="1"/>
  <c r="G18" i="15"/>
  <c r="D6" i="4" s="1"/>
  <c r="H18" i="15"/>
  <c r="E6" i="4" s="1"/>
  <c r="G19" i="15"/>
  <c r="D7" i="4" s="1"/>
  <c r="H19" i="15"/>
  <c r="E7" i="4" s="1"/>
  <c r="G20" i="15"/>
  <c r="D8" i="4" s="1"/>
  <c r="H20" i="15"/>
  <c r="E8" i="4" s="1"/>
  <c r="G21" i="15"/>
  <c r="D9" i="4" s="1"/>
  <c r="H21" i="15"/>
  <c r="E9" i="4" s="1"/>
  <c r="G22" i="15"/>
  <c r="D10" i="4" s="1"/>
  <c r="H22" i="15"/>
  <c r="E10" i="4" s="1"/>
  <c r="G23" i="15"/>
  <c r="D11" i="4" s="1"/>
  <c r="H23" i="15"/>
  <c r="E11" i="4" s="1"/>
  <c r="G24" i="15"/>
  <c r="D12" i="4" s="1"/>
  <c r="H24" i="15"/>
  <c r="E12" i="4" s="1"/>
  <c r="G25" i="15"/>
  <c r="D13" i="4" s="1"/>
  <c r="H25" i="15"/>
  <c r="E13" i="4" s="1"/>
  <c r="G26" i="15"/>
  <c r="D14" i="4" s="1"/>
  <c r="H26" i="15"/>
  <c r="E14" i="4" s="1"/>
  <c r="G27" i="15"/>
  <c r="D15" i="4" s="1"/>
  <c r="H27" i="15"/>
  <c r="E15" i="4" s="1"/>
  <c r="G28" i="15"/>
  <c r="D16" i="4" s="1"/>
  <c r="H28" i="15"/>
  <c r="E16" i="4" s="1"/>
  <c r="G29" i="15"/>
  <c r="D17" i="4" s="1"/>
  <c r="H29" i="15"/>
  <c r="E17" i="4" s="1"/>
  <c r="G30" i="15"/>
  <c r="D18" i="4" s="1"/>
  <c r="H30" i="15"/>
  <c r="E18" i="4" s="1"/>
  <c r="G31" i="15"/>
  <c r="D19" i="4" s="1"/>
  <c r="H31" i="15"/>
  <c r="E19" i="4" s="1"/>
  <c r="G32" i="15"/>
  <c r="D20" i="4" s="1"/>
  <c r="H32" i="15"/>
  <c r="E20" i="4" s="1"/>
  <c r="G33" i="15"/>
  <c r="D21" i="4" s="1"/>
  <c r="H33" i="15"/>
  <c r="E21" i="4" s="1"/>
  <c r="G34" i="15"/>
  <c r="D22" i="4" s="1"/>
  <c r="H34" i="15"/>
  <c r="E22" i="4" s="1"/>
  <c r="G15" i="15"/>
  <c r="D3" i="4" s="1"/>
  <c r="H15" i="15"/>
  <c r="E3" i="4" s="1"/>
  <c r="F5" i="15"/>
  <c r="F68" i="18" l="1"/>
  <c r="F78" i="18"/>
  <c r="H59" i="19"/>
  <c r="G59" i="19" s="1"/>
  <c r="M4" i="4" s="1"/>
  <c r="M3" i="4"/>
  <c r="C67" i="7"/>
  <c r="D67" i="7" s="1"/>
  <c r="E67" i="7" s="1"/>
  <c r="F67" i="7" s="1"/>
  <c r="G67" i="7" s="1"/>
  <c r="H67" i="7" s="1"/>
  <c r="I67" i="7" s="1"/>
  <c r="J67" i="7" s="1"/>
  <c r="K67" i="7" s="1"/>
  <c r="D66" i="7"/>
  <c r="E66" i="7" s="1"/>
  <c r="F66" i="7" s="1"/>
  <c r="G66" i="7" s="1"/>
  <c r="H66" i="7" s="1"/>
  <c r="I66" i="7" s="1"/>
  <c r="J66" i="7" s="1"/>
  <c r="F63" i="18"/>
  <c r="F71" i="18"/>
  <c r="F62" i="18"/>
  <c r="E12" i="17"/>
  <c r="E42" i="17" s="1"/>
  <c r="N42" i="17" s="1"/>
  <c r="G42" i="17" s="1"/>
  <c r="E58" i="17"/>
  <c r="N58" i="17" s="1"/>
  <c r="F47" i="19"/>
  <c r="F59" i="19"/>
  <c r="F76" i="18"/>
  <c r="H59" i="18"/>
  <c r="G59" i="18" s="1"/>
  <c r="F72" i="18"/>
  <c r="F75" i="18"/>
  <c r="F61" i="18"/>
  <c r="F69" i="18"/>
  <c r="F80" i="18"/>
  <c r="F64" i="18"/>
  <c r="F59" i="18"/>
  <c r="F60" i="18"/>
  <c r="F70" i="18"/>
  <c r="F67" i="18"/>
  <c r="F77" i="18"/>
  <c r="C60" i="13"/>
  <c r="I59" i="19"/>
  <c r="H60" i="19"/>
  <c r="G60" i="19" s="1"/>
  <c r="M5" i="4" s="1"/>
  <c r="D34" i="13"/>
  <c r="D38" i="13"/>
  <c r="D42" i="13"/>
  <c r="D46" i="13"/>
  <c r="D50" i="13"/>
  <c r="D35" i="13"/>
  <c r="D39" i="13"/>
  <c r="D43" i="13"/>
  <c r="D47" i="13"/>
  <c r="D51" i="13"/>
  <c r="D36" i="13"/>
  <c r="D40" i="13"/>
  <c r="D44" i="13"/>
  <c r="D48" i="13"/>
  <c r="D52" i="13"/>
  <c r="E12" i="13" s="1"/>
  <c r="E39" i="13" s="1"/>
  <c r="D33" i="13"/>
  <c r="D37" i="13"/>
  <c r="D41" i="13"/>
  <c r="D45" i="13"/>
  <c r="D49" i="13"/>
  <c r="D32" i="13"/>
  <c r="F34" i="18"/>
  <c r="F50" i="18"/>
  <c r="G32" i="19"/>
  <c r="F37" i="19"/>
  <c r="F39" i="19"/>
  <c r="F41" i="18"/>
  <c r="F51" i="18"/>
  <c r="F40" i="18"/>
  <c r="F49" i="18"/>
  <c r="F33" i="18"/>
  <c r="H33" i="18"/>
  <c r="G33" i="18" s="1"/>
  <c r="F48" i="18"/>
  <c r="F54" i="18"/>
  <c r="F52" i="18"/>
  <c r="F42" i="18"/>
  <c r="F35" i="18"/>
  <c r="F65" i="18"/>
  <c r="F43" i="18"/>
  <c r="F39" i="18"/>
  <c r="F66" i="18"/>
  <c r="F36" i="18"/>
  <c r="F45" i="18"/>
  <c r="F46" i="18"/>
  <c r="F37" i="18"/>
  <c r="F44" i="18"/>
  <c r="F38" i="18"/>
  <c r="E80" i="13"/>
  <c r="N80" i="13" s="1"/>
  <c r="C75" i="13"/>
  <c r="C67" i="13"/>
  <c r="C59" i="13"/>
  <c r="C58" i="13"/>
  <c r="C74" i="13"/>
  <c r="C66" i="13"/>
  <c r="C73" i="13"/>
  <c r="C65" i="13"/>
  <c r="C72" i="13"/>
  <c r="C64" i="13"/>
  <c r="C71" i="13"/>
  <c r="C63" i="13"/>
  <c r="C78" i="13"/>
  <c r="G78" i="13" s="1"/>
  <c r="C70" i="13"/>
  <c r="C62" i="13"/>
  <c r="C77" i="13"/>
  <c r="C69" i="13"/>
  <c r="C61" i="13"/>
  <c r="C80" i="13"/>
  <c r="C76" i="13"/>
  <c r="C68" i="13"/>
  <c r="E74" i="17"/>
  <c r="N74" i="17" s="1"/>
  <c r="G74" i="17" s="1"/>
  <c r="E59" i="13"/>
  <c r="N59" i="13" s="1"/>
  <c r="E70" i="17"/>
  <c r="N70" i="17" s="1"/>
  <c r="G70" i="17" s="1"/>
  <c r="E71" i="17"/>
  <c r="N71" i="17" s="1"/>
  <c r="G71" i="17" s="1"/>
  <c r="E75" i="17"/>
  <c r="N75" i="17" s="1"/>
  <c r="G75" i="17" s="1"/>
  <c r="E67" i="17"/>
  <c r="N67" i="17" s="1"/>
  <c r="G67" i="17" s="1"/>
  <c r="E73" i="17"/>
  <c r="N73" i="17" s="1"/>
  <c r="G73" i="17" s="1"/>
  <c r="E63" i="17"/>
  <c r="N63" i="17" s="1"/>
  <c r="G63" i="17" s="1"/>
  <c r="E61" i="17"/>
  <c r="N61" i="17" s="1"/>
  <c r="G61" i="17" s="1"/>
  <c r="E77" i="17"/>
  <c r="N77" i="17" s="1"/>
  <c r="G77" i="17" s="1"/>
  <c r="E65" i="17"/>
  <c r="N65" i="17" s="1"/>
  <c r="G65" i="17" s="1"/>
  <c r="E76" i="17"/>
  <c r="N76" i="17" s="1"/>
  <c r="G76" i="17" s="1"/>
  <c r="E64" i="17"/>
  <c r="N64" i="17" s="1"/>
  <c r="G64" i="17" s="1"/>
  <c r="E78" i="17"/>
  <c r="E68" i="17"/>
  <c r="N68" i="17" s="1"/>
  <c r="G68" i="17" s="1"/>
  <c r="G58" i="17"/>
  <c r="I58" i="17" s="1"/>
  <c r="S3" i="4" s="1"/>
  <c r="E59" i="17"/>
  <c r="N59" i="17" s="1"/>
  <c r="G59" i="17" s="1"/>
  <c r="E69" i="17"/>
  <c r="N69" i="17" s="1"/>
  <c r="G69" i="17" s="1"/>
  <c r="E66" i="17"/>
  <c r="N66" i="17" s="1"/>
  <c r="G66" i="17" s="1"/>
  <c r="E72" i="17"/>
  <c r="N72" i="17" s="1"/>
  <c r="G72" i="17" s="1"/>
  <c r="H72" i="17" s="1"/>
  <c r="E62" i="17"/>
  <c r="N62" i="17" s="1"/>
  <c r="G62" i="17" s="1"/>
  <c r="E80" i="17"/>
  <c r="N80" i="17" s="1"/>
  <c r="G80" i="17" s="1"/>
  <c r="E60" i="17"/>
  <c r="N60" i="17" s="1"/>
  <c r="G60" i="17" s="1"/>
  <c r="C54" i="16"/>
  <c r="E54" i="16" s="1"/>
  <c r="C75" i="16"/>
  <c r="E75" i="16" s="1"/>
  <c r="C63" i="16"/>
  <c r="E63" i="16" s="1"/>
  <c r="C73" i="16"/>
  <c r="E73" i="16" s="1"/>
  <c r="C61" i="16"/>
  <c r="E61" i="16" s="1"/>
  <c r="C65" i="16"/>
  <c r="E65" i="16" s="1"/>
  <c r="C69" i="16"/>
  <c r="E69" i="16" s="1"/>
  <c r="C77" i="16"/>
  <c r="E77" i="16" s="1"/>
  <c r="C58" i="16"/>
  <c r="E58" i="16" s="1"/>
  <c r="C70" i="16"/>
  <c r="E70" i="16" s="1"/>
  <c r="C33" i="16"/>
  <c r="E33" i="16" s="1"/>
  <c r="C42" i="16"/>
  <c r="E42" i="16" s="1"/>
  <c r="C49" i="16"/>
  <c r="E49" i="16" s="1"/>
  <c r="C59" i="16"/>
  <c r="E59" i="16" s="1"/>
  <c r="C66" i="16"/>
  <c r="E66" i="16" s="1"/>
  <c r="C38" i="16"/>
  <c r="E38" i="16" s="1"/>
  <c r="C45" i="16"/>
  <c r="E45" i="16" s="1"/>
  <c r="C60" i="16"/>
  <c r="E60" i="16" s="1"/>
  <c r="C36" i="16"/>
  <c r="E36" i="16" s="1"/>
  <c r="C43" i="16"/>
  <c r="E43" i="16" s="1"/>
  <c r="C52" i="16"/>
  <c r="E52" i="16" s="1"/>
  <c r="C64" i="16"/>
  <c r="E64" i="16" s="1"/>
  <c r="C74" i="16"/>
  <c r="E74" i="16" s="1"/>
  <c r="C34" i="16"/>
  <c r="E34" i="16" s="1"/>
  <c r="C41" i="16"/>
  <c r="E41" i="16" s="1"/>
  <c r="C50" i="16"/>
  <c r="E50" i="16" s="1"/>
  <c r="C68" i="16"/>
  <c r="E68" i="16" s="1"/>
  <c r="C78" i="16"/>
  <c r="E78" i="16" s="1"/>
  <c r="C39" i="16"/>
  <c r="E39" i="16" s="1"/>
  <c r="C48" i="16"/>
  <c r="E48" i="16" s="1"/>
  <c r="C72" i="16"/>
  <c r="E72" i="16" s="1"/>
  <c r="C40" i="16"/>
  <c r="E40" i="16" s="1"/>
  <c r="C37" i="16"/>
  <c r="E37" i="16" s="1"/>
  <c r="C46" i="16"/>
  <c r="E46" i="16" s="1"/>
  <c r="C80" i="16"/>
  <c r="E80" i="16" s="1"/>
  <c r="C47" i="16"/>
  <c r="E47" i="16" s="1"/>
  <c r="C35" i="16"/>
  <c r="E35" i="16" s="1"/>
  <c r="C44" i="16"/>
  <c r="E44" i="16" s="1"/>
  <c r="C51" i="16"/>
  <c r="C62" i="16"/>
  <c r="E62" i="16" s="1"/>
  <c r="C76" i="16"/>
  <c r="E76" i="16" s="1"/>
  <c r="C67" i="16"/>
  <c r="E67" i="16" s="1"/>
  <c r="C71" i="16"/>
  <c r="E71" i="16" s="1"/>
  <c r="C32" i="16"/>
  <c r="E66" i="13"/>
  <c r="N66" i="13" s="1"/>
  <c r="E73" i="13"/>
  <c r="N73" i="13" s="1"/>
  <c r="E72" i="13"/>
  <c r="N72" i="13" s="1"/>
  <c r="E64" i="13"/>
  <c r="N64" i="13" s="1"/>
  <c r="E58" i="13"/>
  <c r="N58" i="13" s="1"/>
  <c r="E71" i="13"/>
  <c r="N71" i="13" s="1"/>
  <c r="E63" i="13"/>
  <c r="N63" i="13" s="1"/>
  <c r="E74" i="13"/>
  <c r="N74" i="13" s="1"/>
  <c r="E70" i="13"/>
  <c r="N70" i="13" s="1"/>
  <c r="E62" i="13"/>
  <c r="N62" i="13" s="1"/>
  <c r="E77" i="13"/>
  <c r="N77" i="13" s="1"/>
  <c r="E69" i="13"/>
  <c r="N69" i="13" s="1"/>
  <c r="E61" i="13"/>
  <c r="N61" i="13" s="1"/>
  <c r="E65" i="13"/>
  <c r="N65" i="13" s="1"/>
  <c r="E76" i="13"/>
  <c r="N76" i="13" s="1"/>
  <c r="E68" i="13"/>
  <c r="N68" i="13" s="1"/>
  <c r="E60" i="13"/>
  <c r="N60" i="13" s="1"/>
  <c r="E78" i="13"/>
  <c r="E75" i="13"/>
  <c r="N75" i="13" s="1"/>
  <c r="E67" i="13"/>
  <c r="N67" i="13" s="1"/>
  <c r="C35" i="15"/>
  <c r="C33" i="15"/>
  <c r="C17" i="15"/>
  <c r="C25" i="15"/>
  <c r="C23" i="15"/>
  <c r="C15" i="15"/>
  <c r="C34" i="15"/>
  <c r="C32" i="15"/>
  <c r="C30" i="15"/>
  <c r="C28" i="15"/>
  <c r="C26" i="15"/>
  <c r="C24" i="15"/>
  <c r="C22" i="15"/>
  <c r="C20" i="15"/>
  <c r="C29" i="15"/>
  <c r="C16" i="15"/>
  <c r="C19" i="15"/>
  <c r="C37" i="15"/>
  <c r="C31" i="15"/>
  <c r="C18" i="15"/>
  <c r="C21" i="15"/>
  <c r="C27" i="15"/>
  <c r="P51" i="13"/>
  <c r="O51" i="13"/>
  <c r="B51" i="13"/>
  <c r="C52" i="13" s="1"/>
  <c r="G52" i="13" s="1"/>
  <c r="P50" i="13"/>
  <c r="O50" i="13"/>
  <c r="B50" i="13"/>
  <c r="P49" i="13"/>
  <c r="O49" i="13"/>
  <c r="B49" i="13"/>
  <c r="P48" i="13"/>
  <c r="O48" i="13"/>
  <c r="B48" i="13"/>
  <c r="P47" i="13"/>
  <c r="O47" i="13"/>
  <c r="B47" i="13"/>
  <c r="P46" i="13"/>
  <c r="O46" i="13"/>
  <c r="B46" i="13"/>
  <c r="P45" i="13"/>
  <c r="O45" i="13"/>
  <c r="B45" i="13"/>
  <c r="P44" i="13"/>
  <c r="O44" i="13"/>
  <c r="B44" i="13"/>
  <c r="P43" i="13"/>
  <c r="O43" i="13"/>
  <c r="B43" i="13"/>
  <c r="P42" i="13"/>
  <c r="O42" i="13"/>
  <c r="B42" i="13"/>
  <c r="P41" i="13"/>
  <c r="O41" i="13"/>
  <c r="B41" i="13"/>
  <c r="P40" i="13"/>
  <c r="O40" i="13"/>
  <c r="B40" i="13"/>
  <c r="P39" i="13"/>
  <c r="O39" i="13"/>
  <c r="B39" i="13"/>
  <c r="P38" i="13"/>
  <c r="O38" i="13"/>
  <c r="B38" i="13"/>
  <c r="P37" i="13"/>
  <c r="O37" i="13"/>
  <c r="B37" i="13"/>
  <c r="P36" i="13"/>
  <c r="O36" i="13"/>
  <c r="B36" i="13"/>
  <c r="P35" i="13"/>
  <c r="O35" i="13"/>
  <c r="B35" i="13"/>
  <c r="P34" i="13"/>
  <c r="O34" i="13"/>
  <c r="B34" i="13"/>
  <c r="P33" i="13"/>
  <c r="O33" i="13"/>
  <c r="B33" i="13"/>
  <c r="P32" i="13"/>
  <c r="O32" i="13"/>
  <c r="B32" i="13"/>
  <c r="I59" i="18" l="1"/>
  <c r="K4" i="4"/>
  <c r="I33" i="18"/>
  <c r="J4" i="4"/>
  <c r="H33" i="19"/>
  <c r="G33" i="19" s="1"/>
  <c r="L3" i="4"/>
  <c r="H60" i="18"/>
  <c r="G60" i="18" s="1"/>
  <c r="K5" i="4" s="1"/>
  <c r="E38" i="17"/>
  <c r="N38" i="17" s="1"/>
  <c r="G38" i="17" s="1"/>
  <c r="E33" i="17"/>
  <c r="N33" i="17" s="1"/>
  <c r="G33" i="17" s="1"/>
  <c r="E46" i="17"/>
  <c r="N46" i="17" s="1"/>
  <c r="G46" i="17" s="1"/>
  <c r="E43" i="17"/>
  <c r="N43" i="17" s="1"/>
  <c r="G43" i="17" s="1"/>
  <c r="H43" i="17" s="1"/>
  <c r="E37" i="17"/>
  <c r="N37" i="17" s="1"/>
  <c r="G37" i="17" s="1"/>
  <c r="E41" i="17"/>
  <c r="N41" i="17" s="1"/>
  <c r="G41" i="17" s="1"/>
  <c r="H42" i="17" s="1"/>
  <c r="E51" i="17"/>
  <c r="N51" i="17" s="1"/>
  <c r="G51" i="17" s="1"/>
  <c r="H52" i="17" s="1"/>
  <c r="E50" i="17"/>
  <c r="N50" i="17" s="1"/>
  <c r="G50" i="17" s="1"/>
  <c r="E45" i="17"/>
  <c r="N45" i="17" s="1"/>
  <c r="G45" i="17" s="1"/>
  <c r="E32" i="17"/>
  <c r="N32" i="17" s="1"/>
  <c r="G32" i="17" s="1"/>
  <c r="I32" i="17" s="1"/>
  <c r="E54" i="17"/>
  <c r="N54" i="17" s="1"/>
  <c r="G54" i="17" s="1"/>
  <c r="E40" i="17"/>
  <c r="N40" i="17" s="1"/>
  <c r="G40" i="17" s="1"/>
  <c r="E35" i="17"/>
  <c r="N35" i="17" s="1"/>
  <c r="G35" i="17" s="1"/>
  <c r="E34" i="17"/>
  <c r="N34" i="17" s="1"/>
  <c r="G34" i="17" s="1"/>
  <c r="E44" i="17"/>
  <c r="N44" i="17" s="1"/>
  <c r="G44" i="17" s="1"/>
  <c r="E39" i="17"/>
  <c r="N39" i="17" s="1"/>
  <c r="G39" i="17" s="1"/>
  <c r="H40" i="17" s="1"/>
  <c r="E48" i="17"/>
  <c r="N48" i="17" s="1"/>
  <c r="G48" i="17" s="1"/>
  <c r="E49" i="17"/>
  <c r="N49" i="17" s="1"/>
  <c r="G49" i="17" s="1"/>
  <c r="E47" i="17"/>
  <c r="N47" i="17" s="1"/>
  <c r="G47" i="17" s="1"/>
  <c r="H47" i="17" s="1"/>
  <c r="E36" i="17"/>
  <c r="N36" i="17" s="1"/>
  <c r="G36" i="17" s="1"/>
  <c r="E52" i="17"/>
  <c r="H74" i="17"/>
  <c r="G68" i="13"/>
  <c r="G74" i="13"/>
  <c r="E45" i="13"/>
  <c r="E46" i="13"/>
  <c r="E52" i="13"/>
  <c r="E49" i="13"/>
  <c r="G67" i="13"/>
  <c r="G60" i="13"/>
  <c r="E36" i="13"/>
  <c r="E42" i="13"/>
  <c r="G75" i="13"/>
  <c r="G72" i="13"/>
  <c r="E51" i="13"/>
  <c r="G65" i="13"/>
  <c r="E48" i="13"/>
  <c r="E35" i="13"/>
  <c r="H34" i="19"/>
  <c r="G34" i="19" s="1"/>
  <c r="L5" i="4" s="1"/>
  <c r="F66" i="16"/>
  <c r="E37" i="13"/>
  <c r="E44" i="13"/>
  <c r="E47" i="13"/>
  <c r="E50" i="13"/>
  <c r="E34" i="13"/>
  <c r="E33" i="13"/>
  <c r="E40" i="13"/>
  <c r="E43" i="13"/>
  <c r="E32" i="13"/>
  <c r="E54" i="13"/>
  <c r="G76" i="13"/>
  <c r="G77" i="13"/>
  <c r="G63" i="13"/>
  <c r="E41" i="13"/>
  <c r="E38" i="13"/>
  <c r="I60" i="19"/>
  <c r="H61" i="19"/>
  <c r="G61" i="19" s="1"/>
  <c r="M6" i="4" s="1"/>
  <c r="H75" i="17"/>
  <c r="H34" i="18"/>
  <c r="G34" i="18" s="1"/>
  <c r="G59" i="13"/>
  <c r="H68" i="17"/>
  <c r="G62" i="13"/>
  <c r="G73" i="13"/>
  <c r="G70" i="13"/>
  <c r="G66" i="13"/>
  <c r="G71" i="13"/>
  <c r="G61" i="13"/>
  <c r="G69" i="13"/>
  <c r="G64" i="13"/>
  <c r="G80" i="13"/>
  <c r="H62" i="17"/>
  <c r="H66" i="17"/>
  <c r="H71" i="17"/>
  <c r="H77" i="17"/>
  <c r="H80" i="17"/>
  <c r="J59" i="17"/>
  <c r="I59" i="17" s="1"/>
  <c r="H67" i="17"/>
  <c r="H70" i="17"/>
  <c r="H76" i="17"/>
  <c r="H64" i="17"/>
  <c r="H78" i="17"/>
  <c r="H61" i="17"/>
  <c r="H59" i="17"/>
  <c r="H63" i="17"/>
  <c r="H69" i="17"/>
  <c r="H65" i="17"/>
  <c r="H60" i="17"/>
  <c r="H73" i="17"/>
  <c r="F63" i="16"/>
  <c r="E51" i="16"/>
  <c r="F52" i="16" s="1"/>
  <c r="E32" i="16"/>
  <c r="G32" i="16" s="1"/>
  <c r="F72" i="16"/>
  <c r="F71" i="16"/>
  <c r="F39" i="16"/>
  <c r="F68" i="16"/>
  <c r="G58" i="16"/>
  <c r="F62" i="16"/>
  <c r="F78" i="16"/>
  <c r="F74" i="16"/>
  <c r="F65" i="16"/>
  <c r="F64" i="16"/>
  <c r="F61" i="16"/>
  <c r="F70" i="16"/>
  <c r="F40" i="16"/>
  <c r="F36" i="16"/>
  <c r="F37" i="16"/>
  <c r="F34" i="16"/>
  <c r="F35" i="16"/>
  <c r="F50" i="16"/>
  <c r="F80" i="16"/>
  <c r="F46" i="16"/>
  <c r="F38" i="16"/>
  <c r="F44" i="16"/>
  <c r="F45" i="16"/>
  <c r="F42" i="16"/>
  <c r="F43" i="16"/>
  <c r="F48" i="16"/>
  <c r="F60" i="16"/>
  <c r="F41" i="16"/>
  <c r="F76" i="16"/>
  <c r="F47" i="16"/>
  <c r="F49" i="16"/>
  <c r="F69" i="16"/>
  <c r="F77" i="16"/>
  <c r="F73" i="16"/>
  <c r="G58" i="13"/>
  <c r="E31" i="15"/>
  <c r="C37" i="13"/>
  <c r="C45" i="13"/>
  <c r="C32" i="13"/>
  <c r="C42" i="13"/>
  <c r="C50" i="13"/>
  <c r="C35" i="13"/>
  <c r="C40" i="13"/>
  <c r="C48" i="13"/>
  <c r="C33" i="13"/>
  <c r="C43" i="13"/>
  <c r="C51" i="13"/>
  <c r="C38" i="13"/>
  <c r="C46" i="13"/>
  <c r="C36" i="13"/>
  <c r="C41" i="13"/>
  <c r="C49" i="13"/>
  <c r="C34" i="13"/>
  <c r="C44" i="13"/>
  <c r="C54" i="13"/>
  <c r="C39" i="13"/>
  <c r="C47" i="13"/>
  <c r="I60" i="18" l="1"/>
  <c r="J60" i="17"/>
  <c r="I60" i="17" s="1"/>
  <c r="S5" i="4" s="1"/>
  <c r="S4" i="4"/>
  <c r="I33" i="19"/>
  <c r="L4" i="4"/>
  <c r="H61" i="18"/>
  <c r="G61" i="18" s="1"/>
  <c r="K6" i="4" s="1"/>
  <c r="I34" i="18"/>
  <c r="J5" i="4"/>
  <c r="J33" i="17"/>
  <c r="I33" i="17" s="1"/>
  <c r="J34" i="17" s="1"/>
  <c r="I34" i="17" s="1"/>
  <c r="R3" i="4"/>
  <c r="H44" i="17"/>
  <c r="H34" i="17"/>
  <c r="H37" i="17"/>
  <c r="H33" i="17"/>
  <c r="H46" i="17"/>
  <c r="H36" i="17"/>
  <c r="H48" i="17"/>
  <c r="H41" i="17"/>
  <c r="H38" i="17"/>
  <c r="H45" i="17"/>
  <c r="H50" i="17"/>
  <c r="H35" i="17"/>
  <c r="H49" i="17"/>
  <c r="H51" i="17"/>
  <c r="H54" i="17"/>
  <c r="H39" i="17"/>
  <c r="H68" i="13"/>
  <c r="H69" i="13"/>
  <c r="H75" i="13"/>
  <c r="H73" i="13"/>
  <c r="H66" i="13"/>
  <c r="H60" i="13"/>
  <c r="H76" i="13"/>
  <c r="H61" i="13"/>
  <c r="H63" i="13"/>
  <c r="H59" i="13"/>
  <c r="H65" i="13"/>
  <c r="H77" i="13"/>
  <c r="I34" i="19"/>
  <c r="H35" i="19"/>
  <c r="G35" i="19" s="1"/>
  <c r="L6" i="4" s="1"/>
  <c r="F54" i="16"/>
  <c r="F51" i="16"/>
  <c r="H70" i="13"/>
  <c r="H78" i="13"/>
  <c r="H80" i="13"/>
  <c r="H59" i="16"/>
  <c r="G59" i="16" s="1"/>
  <c r="G4" i="4" s="1"/>
  <c r="G3" i="4"/>
  <c r="H33" i="16"/>
  <c r="G33" i="16" s="1"/>
  <c r="F3" i="4"/>
  <c r="H71" i="13"/>
  <c r="H35" i="18"/>
  <c r="G35" i="18" s="1"/>
  <c r="F33" i="16"/>
  <c r="I61" i="19"/>
  <c r="H62" i="19"/>
  <c r="G62" i="19" s="1"/>
  <c r="M7" i="4" s="1"/>
  <c r="I61" i="18"/>
  <c r="H62" i="18"/>
  <c r="G62" i="18" s="1"/>
  <c r="K7" i="4" s="1"/>
  <c r="H74" i="13"/>
  <c r="H67" i="13"/>
  <c r="H72" i="13"/>
  <c r="H62" i="13"/>
  <c r="H64" i="13"/>
  <c r="K59" i="17"/>
  <c r="K60" i="17"/>
  <c r="J61" i="17"/>
  <c r="I61" i="17" s="1"/>
  <c r="S6" i="4" s="1"/>
  <c r="F75" i="16"/>
  <c r="F59" i="16"/>
  <c r="F67" i="16"/>
  <c r="I58" i="13"/>
  <c r="E24" i="15"/>
  <c r="E37" i="15"/>
  <c r="E34" i="15"/>
  <c r="E19" i="15"/>
  <c r="E26" i="15"/>
  <c r="E25" i="15"/>
  <c r="E17" i="15"/>
  <c r="E30" i="15"/>
  <c r="E20" i="15"/>
  <c r="E33" i="15"/>
  <c r="E21" i="15"/>
  <c r="E27" i="15"/>
  <c r="E32" i="15"/>
  <c r="E35" i="15"/>
  <c r="E23" i="15"/>
  <c r="E18" i="15"/>
  <c r="E29" i="15"/>
  <c r="E15" i="15"/>
  <c r="E28" i="15"/>
  <c r="E16" i="15"/>
  <c r="E22" i="15"/>
  <c r="N32" i="13"/>
  <c r="G32" i="13" s="1"/>
  <c r="K34" i="17" l="1"/>
  <c r="R5" i="4"/>
  <c r="I35" i="18"/>
  <c r="J6" i="4"/>
  <c r="K33" i="17"/>
  <c r="R4" i="4"/>
  <c r="J35" i="17"/>
  <c r="I35" i="17" s="1"/>
  <c r="I35" i="19"/>
  <c r="H36" i="19"/>
  <c r="G36" i="19" s="1"/>
  <c r="L7" i="4" s="1"/>
  <c r="H36" i="18"/>
  <c r="G36" i="18" s="1"/>
  <c r="H60" i="16"/>
  <c r="G60" i="16" s="1"/>
  <c r="H61" i="16" s="1"/>
  <c r="G61" i="16" s="1"/>
  <c r="G6" i="4" s="1"/>
  <c r="I59" i="16"/>
  <c r="H63" i="19"/>
  <c r="G63" i="19" s="1"/>
  <c r="M8" i="4" s="1"/>
  <c r="I62" i="19"/>
  <c r="I33" i="16"/>
  <c r="F4" i="4"/>
  <c r="H34" i="16"/>
  <c r="G34" i="16" s="1"/>
  <c r="H35" i="16" s="1"/>
  <c r="G35" i="16" s="1"/>
  <c r="I62" i="18"/>
  <c r="H63" i="18"/>
  <c r="G63" i="18" s="1"/>
  <c r="K8" i="4" s="1"/>
  <c r="J59" i="13"/>
  <c r="I59" i="13" s="1"/>
  <c r="J60" i="13" s="1"/>
  <c r="I60" i="13" s="1"/>
  <c r="J61" i="13" s="1"/>
  <c r="I61" i="13" s="1"/>
  <c r="O3" i="4"/>
  <c r="K61" i="17"/>
  <c r="J62" i="17"/>
  <c r="I62" i="17" s="1"/>
  <c r="S7" i="4" s="1"/>
  <c r="I32" i="13"/>
  <c r="N3" i="4" s="1"/>
  <c r="N51" i="13"/>
  <c r="G51" i="13" s="1"/>
  <c r="H52" i="13" s="1"/>
  <c r="N54" i="13"/>
  <c r="G54" i="13" s="1"/>
  <c r="N36" i="13"/>
  <c r="G36" i="13" s="1"/>
  <c r="N40" i="13"/>
  <c r="G40" i="13" s="1"/>
  <c r="N34" i="13"/>
  <c r="G34" i="13" s="1"/>
  <c r="N44" i="13"/>
  <c r="G44" i="13" s="1"/>
  <c r="N38" i="13"/>
  <c r="G38" i="13" s="1"/>
  <c r="N45" i="13"/>
  <c r="G45" i="13" s="1"/>
  <c r="N43" i="13"/>
  <c r="G43" i="13" s="1"/>
  <c r="N37" i="13"/>
  <c r="G37" i="13" s="1"/>
  <c r="N42" i="13"/>
  <c r="G42" i="13" s="1"/>
  <c r="N41" i="13"/>
  <c r="G41" i="13" s="1"/>
  <c r="N48" i="13"/>
  <c r="G48" i="13" s="1"/>
  <c r="N47" i="13"/>
  <c r="G47" i="13" s="1"/>
  <c r="N46" i="13"/>
  <c r="G46" i="13" s="1"/>
  <c r="N33" i="13"/>
  <c r="G33" i="13" s="1"/>
  <c r="H33" i="13" s="1"/>
  <c r="N35" i="13"/>
  <c r="G35" i="13" s="1"/>
  <c r="N49" i="13"/>
  <c r="G49" i="13" s="1"/>
  <c r="N39" i="13"/>
  <c r="G39" i="13" s="1"/>
  <c r="N50" i="13"/>
  <c r="G50" i="13" s="1"/>
  <c r="W4" i="4"/>
  <c r="W5" i="4"/>
  <c r="W6" i="4"/>
  <c r="W7" i="4"/>
  <c r="W8" i="4"/>
  <c r="W9" i="4"/>
  <c r="W10" i="4"/>
  <c r="W11" i="4"/>
  <c r="W12" i="4"/>
  <c r="W13" i="4"/>
  <c r="W14" i="4"/>
  <c r="W15" i="4"/>
  <c r="W16" i="4"/>
  <c r="W17" i="4"/>
  <c r="W18" i="4"/>
  <c r="W19" i="4"/>
  <c r="W20" i="4"/>
  <c r="W21" i="4"/>
  <c r="W22" i="4"/>
  <c r="W3" i="4"/>
  <c r="J36" i="17" l="1"/>
  <c r="I36" i="17" s="1"/>
  <c r="K36" i="17" s="1"/>
  <c r="R6" i="4"/>
  <c r="I36" i="18"/>
  <c r="J7" i="4"/>
  <c r="K35" i="17"/>
  <c r="H37" i="19"/>
  <c r="G37" i="19" s="1"/>
  <c r="L8" i="4" s="1"/>
  <c r="I36" i="19"/>
  <c r="H37" i="18"/>
  <c r="G37" i="18" s="1"/>
  <c r="I61" i="16"/>
  <c r="G5" i="4"/>
  <c r="H62" i="16"/>
  <c r="G62" i="16" s="1"/>
  <c r="G7" i="4" s="1"/>
  <c r="I60" i="16"/>
  <c r="H34" i="13"/>
  <c r="I35" i="16"/>
  <c r="F6" i="4"/>
  <c r="I34" i="16"/>
  <c r="F5" i="4"/>
  <c r="I63" i="19"/>
  <c r="H64" i="19"/>
  <c r="G64" i="19" s="1"/>
  <c r="M9" i="4" s="1"/>
  <c r="H50" i="13"/>
  <c r="I63" i="18"/>
  <c r="H64" i="18"/>
  <c r="G64" i="18" s="1"/>
  <c r="K9" i="4" s="1"/>
  <c r="K61" i="13"/>
  <c r="O6" i="4"/>
  <c r="K60" i="13"/>
  <c r="O5" i="4"/>
  <c r="K59" i="13"/>
  <c r="O4" i="4"/>
  <c r="K62" i="17"/>
  <c r="J63" i="17"/>
  <c r="I63" i="17" s="1"/>
  <c r="S8" i="4" s="1"/>
  <c r="H36" i="16"/>
  <c r="G36" i="16" s="1"/>
  <c r="H41" i="13"/>
  <c r="J62" i="13"/>
  <c r="I62" i="13" s="1"/>
  <c r="H46" i="13"/>
  <c r="H37" i="13"/>
  <c r="H54" i="13"/>
  <c r="J33" i="13"/>
  <c r="I33" i="13" s="1"/>
  <c r="H38" i="13"/>
  <c r="H44" i="13"/>
  <c r="H47" i="13"/>
  <c r="H48" i="13"/>
  <c r="H40" i="13"/>
  <c r="H39" i="13"/>
  <c r="H42" i="13"/>
  <c r="H36" i="13"/>
  <c r="H49" i="13"/>
  <c r="H35" i="13"/>
  <c r="H43" i="13"/>
  <c r="H51" i="13"/>
  <c r="H45" i="13"/>
  <c r="I37" i="18" l="1"/>
  <c r="J8" i="4"/>
  <c r="J37" i="17"/>
  <c r="I37" i="17" s="1"/>
  <c r="R7" i="4"/>
  <c r="I37" i="19"/>
  <c r="H38" i="19"/>
  <c r="G38" i="19" s="1"/>
  <c r="L9" i="4" s="1"/>
  <c r="H38" i="18"/>
  <c r="G38" i="18" s="1"/>
  <c r="H63" i="16"/>
  <c r="G63" i="16" s="1"/>
  <c r="G8" i="4" s="1"/>
  <c r="I62" i="16"/>
  <c r="I36" i="16"/>
  <c r="F7" i="4"/>
  <c r="H65" i="19"/>
  <c r="G65" i="19" s="1"/>
  <c r="M10" i="4" s="1"/>
  <c r="I64" i="19"/>
  <c r="I64" i="18"/>
  <c r="H65" i="18"/>
  <c r="G65" i="18" s="1"/>
  <c r="K10" i="4" s="1"/>
  <c r="K33" i="13"/>
  <c r="N4" i="4"/>
  <c r="K62" i="13"/>
  <c r="O7" i="4"/>
  <c r="K63" i="17"/>
  <c r="J64" i="17"/>
  <c r="I64" i="17" s="1"/>
  <c r="S9" i="4" s="1"/>
  <c r="H37" i="16"/>
  <c r="G37" i="16" s="1"/>
  <c r="H38" i="16" s="1"/>
  <c r="G38" i="16" s="1"/>
  <c r="F9" i="4" s="1"/>
  <c r="J63" i="13"/>
  <c r="I63" i="13" s="1"/>
  <c r="J64" i="13" s="1"/>
  <c r="I64" i="13" s="1"/>
  <c r="O9" i="4" s="1"/>
  <c r="J34" i="13"/>
  <c r="C32" i="9"/>
  <c r="D32" i="9" s="1"/>
  <c r="H3" i="4" s="1"/>
  <c r="I38" i="18" l="1"/>
  <c r="J9" i="4"/>
  <c r="R8" i="4"/>
  <c r="J38" i="17"/>
  <c r="I38" i="17" s="1"/>
  <c r="K37" i="17"/>
  <c r="H39" i="19"/>
  <c r="G39" i="19" s="1"/>
  <c r="L10" i="4" s="1"/>
  <c r="I38" i="19"/>
  <c r="H39" i="18"/>
  <c r="G39" i="18" s="1"/>
  <c r="I63" i="16"/>
  <c r="H64" i="16"/>
  <c r="G64" i="16" s="1"/>
  <c r="G9" i="4" s="1"/>
  <c r="I37" i="16"/>
  <c r="F8" i="4"/>
  <c r="H66" i="19"/>
  <c r="G66" i="19" s="1"/>
  <c r="M11" i="4" s="1"/>
  <c r="I65" i="19"/>
  <c r="I65" i="18"/>
  <c r="H66" i="18"/>
  <c r="G66" i="18" s="1"/>
  <c r="K11" i="4" s="1"/>
  <c r="K63" i="13"/>
  <c r="O8" i="4"/>
  <c r="K64" i="17"/>
  <c r="J65" i="17"/>
  <c r="I65" i="17" s="1"/>
  <c r="S10" i="4" s="1"/>
  <c r="I38" i="16"/>
  <c r="H39" i="16"/>
  <c r="G39" i="16" s="1"/>
  <c r="F10" i="4" s="1"/>
  <c r="K64" i="13"/>
  <c r="J65" i="13"/>
  <c r="I65" i="13" s="1"/>
  <c r="O10" i="4" s="1"/>
  <c r="I34" i="13"/>
  <c r="I39" i="18" l="1"/>
  <c r="J10" i="4"/>
  <c r="R9" i="4"/>
  <c r="K38" i="17"/>
  <c r="J39" i="17"/>
  <c r="I39" i="17" s="1"/>
  <c r="E7" i="9"/>
  <c r="E6" i="9" s="1"/>
  <c r="C7" i="9"/>
  <c r="F7" i="9"/>
  <c r="F6" i="9" s="1"/>
  <c r="B7" i="9"/>
  <c r="B6" i="9" s="1"/>
  <c r="D7" i="9"/>
  <c r="D6" i="9" s="1"/>
  <c r="I39" i="19"/>
  <c r="H40" i="19"/>
  <c r="G40" i="19" s="1"/>
  <c r="L11" i="4" s="1"/>
  <c r="H40" i="18"/>
  <c r="G40" i="18" s="1"/>
  <c r="H65" i="16"/>
  <c r="G65" i="16" s="1"/>
  <c r="G10" i="4" s="1"/>
  <c r="I64" i="16"/>
  <c r="I66" i="19"/>
  <c r="H67" i="19"/>
  <c r="G67" i="19" s="1"/>
  <c r="M12" i="4" s="1"/>
  <c r="I66" i="18"/>
  <c r="H67" i="18"/>
  <c r="G67" i="18" s="1"/>
  <c r="K12" i="4" s="1"/>
  <c r="K34" i="13"/>
  <c r="N5" i="4"/>
  <c r="K65" i="17"/>
  <c r="J66" i="17"/>
  <c r="I66" i="17" s="1"/>
  <c r="S11" i="4" s="1"/>
  <c r="I39" i="16"/>
  <c r="H40" i="16"/>
  <c r="G40" i="16" s="1"/>
  <c r="F11" i="4" s="1"/>
  <c r="K65" i="13"/>
  <c r="J66" i="13"/>
  <c r="I66" i="13" s="1"/>
  <c r="O11" i="4" s="1"/>
  <c r="J35" i="13"/>
  <c r="I35" i="13" s="1"/>
  <c r="C34" i="9"/>
  <c r="D34" i="9" s="1"/>
  <c r="H5" i="4" s="1"/>
  <c r="C33" i="9"/>
  <c r="D33" i="9" s="1"/>
  <c r="H4" i="4" s="1"/>
  <c r="C40" i="9"/>
  <c r="D40" i="9" s="1"/>
  <c r="H11" i="4" s="1"/>
  <c r="C46" i="9"/>
  <c r="D46" i="9" s="1"/>
  <c r="H17" i="4" s="1"/>
  <c r="C38" i="9"/>
  <c r="D38" i="9" s="1"/>
  <c r="H9" i="4" s="1"/>
  <c r="C44" i="9"/>
  <c r="D44" i="9" s="1"/>
  <c r="H15" i="4" s="1"/>
  <c r="C50" i="9"/>
  <c r="D50" i="9" s="1"/>
  <c r="H21" i="4" s="1"/>
  <c r="C36" i="9"/>
  <c r="D36" i="9" s="1"/>
  <c r="H7" i="4" s="1"/>
  <c r="C42" i="9"/>
  <c r="D42" i="9" s="1"/>
  <c r="H13" i="4" s="1"/>
  <c r="C48" i="9"/>
  <c r="D48" i="9" s="1"/>
  <c r="H19" i="4" s="1"/>
  <c r="C35" i="9"/>
  <c r="D35" i="9" s="1"/>
  <c r="H6" i="4" s="1"/>
  <c r="C37" i="9"/>
  <c r="D37" i="9" s="1"/>
  <c r="H8" i="4" s="1"/>
  <c r="C39" i="9"/>
  <c r="D39" i="9" s="1"/>
  <c r="H10" i="4" s="1"/>
  <c r="C41" i="9"/>
  <c r="D41" i="9" s="1"/>
  <c r="H12" i="4" s="1"/>
  <c r="C43" i="9"/>
  <c r="D43" i="9" s="1"/>
  <c r="H14" i="4" s="1"/>
  <c r="C45" i="9"/>
  <c r="D45" i="9" s="1"/>
  <c r="H16" i="4" s="1"/>
  <c r="C47" i="9"/>
  <c r="D47" i="9" s="1"/>
  <c r="H18" i="4" s="1"/>
  <c r="C49" i="9"/>
  <c r="D49" i="9" s="1"/>
  <c r="H20" i="4" s="1"/>
  <c r="C51" i="9"/>
  <c r="D51" i="9" s="1"/>
  <c r="H22" i="4" s="1"/>
  <c r="R10" i="4" l="1"/>
  <c r="K39" i="17"/>
  <c r="J40" i="17"/>
  <c r="I40" i="17" s="1"/>
  <c r="I40" i="18"/>
  <c r="J11" i="4"/>
  <c r="C6" i="9"/>
  <c r="J32" i="9"/>
  <c r="I3" i="4" s="1"/>
  <c r="J37" i="9"/>
  <c r="I8" i="4" s="1"/>
  <c r="J45" i="9"/>
  <c r="I16" i="4" s="1"/>
  <c r="J47" i="9"/>
  <c r="I18" i="4" s="1"/>
  <c r="J39" i="9"/>
  <c r="I10" i="4" s="1"/>
  <c r="J52" i="9"/>
  <c r="I23" i="4" s="1"/>
  <c r="J46" i="9"/>
  <c r="I17" i="4" s="1"/>
  <c r="J36" i="9"/>
  <c r="I7" i="4" s="1"/>
  <c r="J43" i="9"/>
  <c r="I14" i="4" s="1"/>
  <c r="J34" i="9"/>
  <c r="I5" i="4" s="1"/>
  <c r="J48" i="9"/>
  <c r="I19" i="4" s="1"/>
  <c r="J51" i="9"/>
  <c r="I22" i="4" s="1"/>
  <c r="J50" i="9"/>
  <c r="I21" i="4" s="1"/>
  <c r="J42" i="9"/>
  <c r="I13" i="4" s="1"/>
  <c r="J38" i="9"/>
  <c r="I9" i="4" s="1"/>
  <c r="J44" i="9"/>
  <c r="I15" i="4" s="1"/>
  <c r="J41" i="9"/>
  <c r="I12" i="4" s="1"/>
  <c r="J40" i="9"/>
  <c r="I11" i="4" s="1"/>
  <c r="J35" i="9"/>
  <c r="I6" i="4" s="1"/>
  <c r="J33" i="9"/>
  <c r="I4" i="4" s="1"/>
  <c r="J49" i="9"/>
  <c r="I20" i="4" s="1"/>
  <c r="I40" i="19"/>
  <c r="H41" i="19"/>
  <c r="G41" i="19" s="1"/>
  <c r="L12" i="4" s="1"/>
  <c r="H41" i="18"/>
  <c r="G41" i="18" s="1"/>
  <c r="I65" i="16"/>
  <c r="H66" i="16"/>
  <c r="G66" i="16" s="1"/>
  <c r="G11" i="4" s="1"/>
  <c r="I67" i="19"/>
  <c r="H68" i="19"/>
  <c r="G68" i="19" s="1"/>
  <c r="M13" i="4" s="1"/>
  <c r="I67" i="18"/>
  <c r="H68" i="18"/>
  <c r="G68" i="18" s="1"/>
  <c r="K13" i="4" s="1"/>
  <c r="K35" i="13"/>
  <c r="N6" i="4"/>
  <c r="K66" i="17"/>
  <c r="J67" i="17"/>
  <c r="I67" i="17" s="1"/>
  <c r="S12" i="4" s="1"/>
  <c r="I40" i="16"/>
  <c r="H41" i="16"/>
  <c r="G41" i="16" s="1"/>
  <c r="F12" i="4" s="1"/>
  <c r="K66" i="13"/>
  <c r="J67" i="13"/>
  <c r="I67" i="13" s="1"/>
  <c r="O12" i="4" s="1"/>
  <c r="J36" i="13"/>
  <c r="I36" i="13" s="1"/>
  <c r="I41" i="18" l="1"/>
  <c r="J12" i="4"/>
  <c r="R11" i="4"/>
  <c r="K40" i="17"/>
  <c r="J41" i="17"/>
  <c r="I41" i="17" s="1"/>
  <c r="H42" i="19"/>
  <c r="G42" i="19" s="1"/>
  <c r="L13" i="4" s="1"/>
  <c r="I41" i="19"/>
  <c r="H42" i="18"/>
  <c r="G42" i="18" s="1"/>
  <c r="H67" i="16"/>
  <c r="G67" i="16" s="1"/>
  <c r="G12" i="4" s="1"/>
  <c r="I66" i="16"/>
  <c r="I68" i="19"/>
  <c r="H69" i="19"/>
  <c r="G69" i="19" s="1"/>
  <c r="M14" i="4" s="1"/>
  <c r="I68" i="18"/>
  <c r="H69" i="18"/>
  <c r="G69" i="18" s="1"/>
  <c r="K14" i="4" s="1"/>
  <c r="K36" i="13"/>
  <c r="N7" i="4"/>
  <c r="K67" i="17"/>
  <c r="J68" i="17"/>
  <c r="I68" i="17" s="1"/>
  <c r="S13" i="4" s="1"/>
  <c r="I41" i="16"/>
  <c r="H42" i="16"/>
  <c r="G42" i="16" s="1"/>
  <c r="F13" i="4" s="1"/>
  <c r="K67" i="13"/>
  <c r="J68" i="13"/>
  <c r="I68" i="13" s="1"/>
  <c r="O13" i="4" s="1"/>
  <c r="J37" i="13"/>
  <c r="I37" i="13" s="1"/>
  <c r="B3" i="4"/>
  <c r="C3" i="4"/>
  <c r="B4" i="4"/>
  <c r="C4" i="4"/>
  <c r="B5" i="4"/>
  <c r="C5" i="4"/>
  <c r="B6" i="4"/>
  <c r="C6" i="4"/>
  <c r="B7" i="4"/>
  <c r="C7" i="4"/>
  <c r="B8" i="4"/>
  <c r="C8" i="4"/>
  <c r="B9" i="4"/>
  <c r="C9" i="4"/>
  <c r="B10" i="4"/>
  <c r="C10" i="4"/>
  <c r="B11" i="4"/>
  <c r="C11" i="4"/>
  <c r="B12" i="4"/>
  <c r="C12" i="4"/>
  <c r="B13" i="4"/>
  <c r="C13" i="4"/>
  <c r="B14" i="4"/>
  <c r="C14" i="4"/>
  <c r="B15" i="4"/>
  <c r="C15" i="4"/>
  <c r="B16" i="4"/>
  <c r="C16" i="4"/>
  <c r="B17" i="4"/>
  <c r="C17" i="4"/>
  <c r="B18" i="4"/>
  <c r="C18" i="4"/>
  <c r="B19" i="4"/>
  <c r="C19" i="4"/>
  <c r="B20" i="4"/>
  <c r="C20" i="4"/>
  <c r="B21" i="4"/>
  <c r="C21" i="4"/>
  <c r="B22" i="4"/>
  <c r="C22" i="4"/>
  <c r="I42" i="18" l="1"/>
  <c r="J13" i="4"/>
  <c r="R12" i="4"/>
  <c r="J42" i="17"/>
  <c r="I42" i="17" s="1"/>
  <c r="K41" i="17"/>
  <c r="E42" i="7"/>
  <c r="O42" i="7" s="1"/>
  <c r="E38" i="7"/>
  <c r="O38" i="7" s="1"/>
  <c r="E34" i="7"/>
  <c r="O34" i="7" s="1"/>
  <c r="E41" i="7"/>
  <c r="O41" i="7" s="1"/>
  <c r="E37" i="7"/>
  <c r="O37" i="7" s="1"/>
  <c r="E54" i="7"/>
  <c r="O54" i="7" s="1"/>
  <c r="E32" i="7"/>
  <c r="O32" i="7" s="1"/>
  <c r="E49" i="7"/>
  <c r="O49" i="7" s="1"/>
  <c r="E45" i="7"/>
  <c r="O45" i="7" s="1"/>
  <c r="E33" i="7"/>
  <c r="O33" i="7" s="1"/>
  <c r="E35" i="7"/>
  <c r="O35" i="7" s="1"/>
  <c r="E43" i="7"/>
  <c r="O43" i="7" s="1"/>
  <c r="E48" i="7"/>
  <c r="O48" i="7" s="1"/>
  <c r="E36" i="7"/>
  <c r="O36" i="7" s="1"/>
  <c r="E44" i="7"/>
  <c r="O44" i="7" s="1"/>
  <c r="E50" i="7"/>
  <c r="O50" i="7" s="1"/>
  <c r="E39" i="7"/>
  <c r="O39" i="7" s="1"/>
  <c r="E46" i="7"/>
  <c r="O46" i="7" s="1"/>
  <c r="E51" i="7"/>
  <c r="O51" i="7" s="1"/>
  <c r="E52" i="7"/>
  <c r="O52" i="7" s="1"/>
  <c r="E40" i="7"/>
  <c r="O40" i="7" s="1"/>
  <c r="E47" i="7"/>
  <c r="O47" i="7" s="1"/>
  <c r="C54" i="7"/>
  <c r="N54" i="7" s="1"/>
  <c r="C35" i="7"/>
  <c r="N35" i="7" s="1"/>
  <c r="C42" i="7"/>
  <c r="N42" i="7" s="1"/>
  <c r="C37" i="7"/>
  <c r="N37" i="7" s="1"/>
  <c r="C43" i="7"/>
  <c r="N43" i="7" s="1"/>
  <c r="C36" i="7"/>
  <c r="N36" i="7" s="1"/>
  <c r="C52" i="7"/>
  <c r="N52" i="7" s="1"/>
  <c r="C39" i="7"/>
  <c r="N39" i="7" s="1"/>
  <c r="C46" i="7"/>
  <c r="N46" i="7" s="1"/>
  <c r="C41" i="7"/>
  <c r="N41" i="7" s="1"/>
  <c r="C47" i="7"/>
  <c r="N47" i="7" s="1"/>
  <c r="C40" i="7"/>
  <c r="N40" i="7" s="1"/>
  <c r="C51" i="7"/>
  <c r="N51" i="7" s="1"/>
  <c r="C50" i="7"/>
  <c r="N50" i="7" s="1"/>
  <c r="C45" i="7"/>
  <c r="N45" i="7" s="1"/>
  <c r="C44" i="7"/>
  <c r="N44" i="7" s="1"/>
  <c r="C32" i="7"/>
  <c r="N32" i="7" s="1"/>
  <c r="C38" i="7"/>
  <c r="N38" i="7" s="1"/>
  <c r="C33" i="7"/>
  <c r="N33" i="7" s="1"/>
  <c r="C49" i="7"/>
  <c r="N49" i="7" s="1"/>
  <c r="C34" i="7"/>
  <c r="N34" i="7" s="1"/>
  <c r="C48" i="7"/>
  <c r="N48" i="7" s="1"/>
  <c r="H43" i="18"/>
  <c r="G43" i="18" s="1"/>
  <c r="J14" i="4" s="1"/>
  <c r="H43" i="19"/>
  <c r="G43" i="19" s="1"/>
  <c r="L14" i="4" s="1"/>
  <c r="I42" i="19"/>
  <c r="I67" i="16"/>
  <c r="H68" i="16"/>
  <c r="G68" i="16" s="1"/>
  <c r="G13" i="4" s="1"/>
  <c r="I69" i="19"/>
  <c r="H70" i="19"/>
  <c r="G70" i="19" s="1"/>
  <c r="M15" i="4" s="1"/>
  <c r="I43" i="18"/>
  <c r="H44" i="18"/>
  <c r="G44" i="18" s="1"/>
  <c r="J15" i="4" s="1"/>
  <c r="I69" i="18"/>
  <c r="H70" i="18"/>
  <c r="G70" i="18" s="1"/>
  <c r="K15" i="4" s="1"/>
  <c r="K37" i="13"/>
  <c r="N8" i="4"/>
  <c r="K68" i="17"/>
  <c r="J69" i="17"/>
  <c r="I69" i="17" s="1"/>
  <c r="S14" i="4" s="1"/>
  <c r="I42" i="16"/>
  <c r="H43" i="16"/>
  <c r="G43" i="16" s="1"/>
  <c r="F14" i="4" s="1"/>
  <c r="K68" i="13"/>
  <c r="J69" i="13"/>
  <c r="I69" i="13" s="1"/>
  <c r="O14" i="4" s="1"/>
  <c r="J38" i="13"/>
  <c r="I38" i="13" s="1"/>
  <c r="R13" i="4" l="1"/>
  <c r="K42" i="17"/>
  <c r="J43" i="17"/>
  <c r="I43" i="17" s="1"/>
  <c r="G45" i="7"/>
  <c r="G32" i="7"/>
  <c r="I32" i="7" s="1"/>
  <c r="P3" i="4" s="1"/>
  <c r="G43" i="7"/>
  <c r="G47" i="7"/>
  <c r="H44" i="19"/>
  <c r="G44" i="19" s="1"/>
  <c r="L15" i="4" s="1"/>
  <c r="I43" i="19"/>
  <c r="H69" i="16"/>
  <c r="G69" i="16" s="1"/>
  <c r="G14" i="4" s="1"/>
  <c r="I68" i="16"/>
  <c r="I70" i="19"/>
  <c r="H71" i="19"/>
  <c r="G71" i="19" s="1"/>
  <c r="M16" i="4" s="1"/>
  <c r="I44" i="18"/>
  <c r="H45" i="18"/>
  <c r="G45" i="18" s="1"/>
  <c r="J16" i="4" s="1"/>
  <c r="I70" i="18"/>
  <c r="H71" i="18"/>
  <c r="G71" i="18" s="1"/>
  <c r="K16" i="4" s="1"/>
  <c r="K38" i="13"/>
  <c r="N9" i="4"/>
  <c r="K69" i="17"/>
  <c r="J70" i="17"/>
  <c r="I70" i="17" s="1"/>
  <c r="S15" i="4" s="1"/>
  <c r="I43" i="16"/>
  <c r="H44" i="16"/>
  <c r="G44" i="16" s="1"/>
  <c r="F15" i="4" s="1"/>
  <c r="K69" i="13"/>
  <c r="J70" i="13"/>
  <c r="I70" i="13" s="1"/>
  <c r="O15" i="4" s="1"/>
  <c r="J39" i="13"/>
  <c r="I39" i="13" s="1"/>
  <c r="G33" i="7"/>
  <c r="R14" i="4" l="1"/>
  <c r="K43" i="17"/>
  <c r="J44" i="17"/>
  <c r="I44" i="17" s="1"/>
  <c r="J33" i="7"/>
  <c r="H33" i="7"/>
  <c r="I33" i="7" s="1"/>
  <c r="G44" i="7"/>
  <c r="G46" i="7"/>
  <c r="H46" i="7" s="1"/>
  <c r="I46" i="7" s="1"/>
  <c r="P17" i="4" s="1"/>
  <c r="I44" i="19"/>
  <c r="H45" i="19"/>
  <c r="G45" i="19" s="1"/>
  <c r="L16" i="4" s="1"/>
  <c r="I69" i="16"/>
  <c r="H70" i="16"/>
  <c r="G70" i="16" s="1"/>
  <c r="G15" i="4" s="1"/>
  <c r="I71" i="19"/>
  <c r="H72" i="19"/>
  <c r="G72" i="19" s="1"/>
  <c r="M17" i="4" s="1"/>
  <c r="I45" i="18"/>
  <c r="H46" i="18"/>
  <c r="G46" i="18" s="1"/>
  <c r="J17" i="4" s="1"/>
  <c r="I71" i="18"/>
  <c r="H72" i="18"/>
  <c r="G72" i="18" s="1"/>
  <c r="K17" i="4" s="1"/>
  <c r="K39" i="13"/>
  <c r="N10" i="4"/>
  <c r="K70" i="17"/>
  <c r="J71" i="17"/>
  <c r="I71" i="17" s="1"/>
  <c r="S16" i="4" s="1"/>
  <c r="I44" i="16"/>
  <c r="H45" i="16"/>
  <c r="G45" i="16" s="1"/>
  <c r="F16" i="4" s="1"/>
  <c r="K70" i="13"/>
  <c r="J71" i="13"/>
  <c r="I71" i="13" s="1"/>
  <c r="O16" i="4" s="1"/>
  <c r="J40" i="13"/>
  <c r="I40" i="13" s="1"/>
  <c r="G34" i="7"/>
  <c r="H34" i="7" s="1"/>
  <c r="I34" i="7" s="1"/>
  <c r="P5" i="4" s="1"/>
  <c r="K33" i="7" l="1"/>
  <c r="P4" i="4"/>
  <c r="R15" i="4"/>
  <c r="K44" i="17"/>
  <c r="J45" i="17"/>
  <c r="I45" i="17" s="1"/>
  <c r="H74" i="7"/>
  <c r="I74" i="7" s="1"/>
  <c r="H75" i="7"/>
  <c r="I75" i="7" s="1"/>
  <c r="H84" i="7"/>
  <c r="I84" i="7" s="1"/>
  <c r="H85" i="7"/>
  <c r="I85" i="7" s="1"/>
  <c r="Q16" i="4" s="1"/>
  <c r="K34" i="7"/>
  <c r="H47" i="7"/>
  <c r="I47" i="7" s="1"/>
  <c r="J47" i="7"/>
  <c r="J34" i="7"/>
  <c r="H44" i="7"/>
  <c r="I44" i="7" s="1"/>
  <c r="P15" i="4" s="1"/>
  <c r="H45" i="7"/>
  <c r="I45" i="7" s="1"/>
  <c r="P16" i="4" s="1"/>
  <c r="G49" i="7"/>
  <c r="G48" i="7"/>
  <c r="H48" i="7" s="1"/>
  <c r="I48" i="7" s="1"/>
  <c r="P19" i="4" s="1"/>
  <c r="G35" i="7"/>
  <c r="H46" i="19"/>
  <c r="G46" i="19" s="1"/>
  <c r="L17" i="4" s="1"/>
  <c r="I45" i="19"/>
  <c r="H71" i="16"/>
  <c r="G71" i="16" s="1"/>
  <c r="G16" i="4" s="1"/>
  <c r="I70" i="16"/>
  <c r="I72" i="19"/>
  <c r="H73" i="19"/>
  <c r="G73" i="19" s="1"/>
  <c r="M18" i="4" s="1"/>
  <c r="I72" i="18"/>
  <c r="H73" i="18"/>
  <c r="G73" i="18" s="1"/>
  <c r="K18" i="4" s="1"/>
  <c r="I46" i="18"/>
  <c r="H47" i="18"/>
  <c r="G47" i="18" s="1"/>
  <c r="J18" i="4" s="1"/>
  <c r="K40" i="13"/>
  <c r="N11" i="4"/>
  <c r="K71" i="17"/>
  <c r="J72" i="17"/>
  <c r="I72" i="17" s="1"/>
  <c r="S17" i="4" s="1"/>
  <c r="I45" i="16"/>
  <c r="H46" i="16"/>
  <c r="G46" i="16" s="1"/>
  <c r="F17" i="4" s="1"/>
  <c r="K71" i="13"/>
  <c r="J72" i="13"/>
  <c r="I72" i="13" s="1"/>
  <c r="O17" i="4" s="1"/>
  <c r="J41" i="13"/>
  <c r="I41" i="13" s="1"/>
  <c r="J85" i="7" l="1"/>
  <c r="Q15" i="4"/>
  <c r="Q6" i="4"/>
  <c r="H72" i="16"/>
  <c r="G72" i="16" s="1"/>
  <c r="G17" i="4" s="1"/>
  <c r="R16" i="4"/>
  <c r="K45" i="17"/>
  <c r="J46" i="17"/>
  <c r="I46" i="17" s="1"/>
  <c r="K47" i="7"/>
  <c r="P18" i="4"/>
  <c r="J75" i="7"/>
  <c r="Q5" i="4"/>
  <c r="K85" i="7"/>
  <c r="K75" i="7"/>
  <c r="K45" i="7"/>
  <c r="K48" i="7"/>
  <c r="K46" i="7"/>
  <c r="J46" i="7"/>
  <c r="J48" i="7"/>
  <c r="H49" i="7"/>
  <c r="I49" i="7" s="1"/>
  <c r="G50" i="7"/>
  <c r="J45" i="7"/>
  <c r="J49" i="7"/>
  <c r="H35" i="7"/>
  <c r="I35" i="7" s="1"/>
  <c r="J35" i="7"/>
  <c r="I46" i="19"/>
  <c r="H47" i="19"/>
  <c r="G47" i="19" s="1"/>
  <c r="L18" i="4" s="1"/>
  <c r="I71" i="16"/>
  <c r="I73" i="19"/>
  <c r="H74" i="19"/>
  <c r="G74" i="19" s="1"/>
  <c r="M19" i="4" s="1"/>
  <c r="I47" i="18"/>
  <c r="H48" i="18"/>
  <c r="G48" i="18" s="1"/>
  <c r="J19" i="4" s="1"/>
  <c r="I73" i="18"/>
  <c r="H74" i="18"/>
  <c r="G74" i="18" s="1"/>
  <c r="K19" i="4" s="1"/>
  <c r="K41" i="13"/>
  <c r="N12" i="4"/>
  <c r="K72" i="17"/>
  <c r="J73" i="17"/>
  <c r="I73" i="17" s="1"/>
  <c r="S18" i="4" s="1"/>
  <c r="I46" i="16"/>
  <c r="H47" i="16"/>
  <c r="G47" i="16" s="1"/>
  <c r="F18" i="4" s="1"/>
  <c r="K72" i="13"/>
  <c r="J73" i="13"/>
  <c r="I73" i="13" s="1"/>
  <c r="O18" i="4" s="1"/>
  <c r="J42" i="13"/>
  <c r="I42" i="13" s="1"/>
  <c r="K35" i="7" l="1"/>
  <c r="P6" i="4"/>
  <c r="R17" i="4"/>
  <c r="K46" i="17"/>
  <c r="J47" i="17"/>
  <c r="I47" i="17" s="1"/>
  <c r="K49" i="7"/>
  <c r="P20" i="4"/>
  <c r="H73" i="16"/>
  <c r="G73" i="16" s="1"/>
  <c r="G18" i="4" s="1"/>
  <c r="I72" i="16"/>
  <c r="H86" i="7"/>
  <c r="I86" i="7" s="1"/>
  <c r="Q17" i="4" s="1"/>
  <c r="H87" i="7"/>
  <c r="I87" i="7" s="1"/>
  <c r="Q18" i="4" s="1"/>
  <c r="J86" i="7"/>
  <c r="G39" i="7"/>
  <c r="G41" i="7"/>
  <c r="G40" i="7"/>
  <c r="J50" i="7"/>
  <c r="H50" i="7"/>
  <c r="I50" i="7" s="1"/>
  <c r="P21" i="4" s="1"/>
  <c r="H48" i="19"/>
  <c r="G48" i="19" s="1"/>
  <c r="L19" i="4" s="1"/>
  <c r="I47" i="19"/>
  <c r="H75" i="19"/>
  <c r="G75" i="19" s="1"/>
  <c r="M20" i="4" s="1"/>
  <c r="I74" i="19"/>
  <c r="I74" i="18"/>
  <c r="H75" i="18"/>
  <c r="G75" i="18" s="1"/>
  <c r="K20" i="4" s="1"/>
  <c r="I48" i="18"/>
  <c r="H49" i="18"/>
  <c r="G49" i="18" s="1"/>
  <c r="J20" i="4" s="1"/>
  <c r="K42" i="13"/>
  <c r="N13" i="4"/>
  <c r="K73" i="17"/>
  <c r="J74" i="17"/>
  <c r="I74" i="17" s="1"/>
  <c r="S19" i="4" s="1"/>
  <c r="I47" i="16"/>
  <c r="H48" i="16"/>
  <c r="G48" i="16" s="1"/>
  <c r="F19" i="4" s="1"/>
  <c r="I73" i="16"/>
  <c r="K73" i="13"/>
  <c r="J74" i="13"/>
  <c r="I74" i="13" s="1"/>
  <c r="O19" i="4" s="1"/>
  <c r="J43" i="13"/>
  <c r="I43" i="13" s="1"/>
  <c r="R18" i="4" l="1"/>
  <c r="J48" i="17"/>
  <c r="I48" i="17" s="1"/>
  <c r="K47" i="17"/>
  <c r="H74" i="16"/>
  <c r="G74" i="16" s="1"/>
  <c r="G19" i="4" s="1"/>
  <c r="K87" i="7"/>
  <c r="K86" i="7"/>
  <c r="J87" i="7"/>
  <c r="G38" i="7"/>
  <c r="G42" i="7"/>
  <c r="G37" i="7"/>
  <c r="G51" i="7"/>
  <c r="G52" i="7"/>
  <c r="K50" i="7"/>
  <c r="H40" i="7"/>
  <c r="I40" i="7" s="1"/>
  <c r="P11" i="4" s="1"/>
  <c r="H41" i="7"/>
  <c r="I41" i="7" s="1"/>
  <c r="P12" i="4" s="1"/>
  <c r="I48" i="19"/>
  <c r="H49" i="19"/>
  <c r="G49" i="19" s="1"/>
  <c r="L20" i="4" s="1"/>
  <c r="I75" i="19"/>
  <c r="H76" i="19"/>
  <c r="G76" i="19" s="1"/>
  <c r="M21" i="4" s="1"/>
  <c r="I49" i="18"/>
  <c r="H50" i="18"/>
  <c r="G50" i="18" s="1"/>
  <c r="J21" i="4" s="1"/>
  <c r="I75" i="18"/>
  <c r="H76" i="18"/>
  <c r="G76" i="18" s="1"/>
  <c r="K21" i="4" s="1"/>
  <c r="K43" i="13"/>
  <c r="N14" i="4"/>
  <c r="K74" i="17"/>
  <c r="J75" i="17"/>
  <c r="I75" i="17" s="1"/>
  <c r="S20" i="4" s="1"/>
  <c r="I74" i="16"/>
  <c r="H75" i="16"/>
  <c r="G75" i="16" s="1"/>
  <c r="G20" i="4" s="1"/>
  <c r="I48" i="16"/>
  <c r="H49" i="16"/>
  <c r="G49" i="16" s="1"/>
  <c r="F20" i="4" s="1"/>
  <c r="J44" i="13"/>
  <c r="I44" i="13" s="1"/>
  <c r="K74" i="13"/>
  <c r="J75" i="13"/>
  <c r="I75" i="13" s="1"/>
  <c r="O20" i="4" s="1"/>
  <c r="R19" i="4" l="1"/>
  <c r="K48" i="17"/>
  <c r="J49" i="17"/>
  <c r="I49" i="17" s="1"/>
  <c r="H38" i="7"/>
  <c r="I38" i="7" s="1"/>
  <c r="P9" i="4" s="1"/>
  <c r="H39" i="7"/>
  <c r="I39" i="7" s="1"/>
  <c r="J41" i="7"/>
  <c r="J51" i="7"/>
  <c r="H51" i="7"/>
  <c r="I51" i="7" s="1"/>
  <c r="J42" i="7"/>
  <c r="H43" i="7"/>
  <c r="H42" i="7"/>
  <c r="I42" i="7" s="1"/>
  <c r="P13" i="4" s="1"/>
  <c r="H52" i="7"/>
  <c r="I52" i="7" s="1"/>
  <c r="P23" i="4" s="1"/>
  <c r="K41" i="7"/>
  <c r="G54" i="7"/>
  <c r="E72" i="7"/>
  <c r="O72" i="7" s="1"/>
  <c r="G72" i="7" s="1"/>
  <c r="I72" i="7" s="1"/>
  <c r="Q3" i="4" s="1"/>
  <c r="H50" i="19"/>
  <c r="G50" i="19" s="1"/>
  <c r="L21" i="4" s="1"/>
  <c r="I49" i="19"/>
  <c r="I76" i="19"/>
  <c r="H77" i="19"/>
  <c r="G77" i="19" s="1"/>
  <c r="M22" i="4" s="1"/>
  <c r="I76" i="18"/>
  <c r="H77" i="18"/>
  <c r="G77" i="18" s="1"/>
  <c r="K22" i="4" s="1"/>
  <c r="I50" i="18"/>
  <c r="H51" i="18"/>
  <c r="G51" i="18" s="1"/>
  <c r="J22" i="4" s="1"/>
  <c r="K44" i="13"/>
  <c r="N15" i="4"/>
  <c r="K75" i="17"/>
  <c r="J76" i="17"/>
  <c r="I76" i="17" s="1"/>
  <c r="S21" i="4" s="1"/>
  <c r="I49" i="16"/>
  <c r="H50" i="16"/>
  <c r="G50" i="16" s="1"/>
  <c r="F21" i="4" s="1"/>
  <c r="I75" i="16"/>
  <c r="H76" i="16"/>
  <c r="G76" i="16" s="1"/>
  <c r="G21" i="4" s="1"/>
  <c r="J45" i="13"/>
  <c r="I45" i="13" s="1"/>
  <c r="K75" i="13"/>
  <c r="J76" i="13"/>
  <c r="I76" i="13" s="1"/>
  <c r="O21" i="4" s="1"/>
  <c r="R20" i="4" l="1"/>
  <c r="K49" i="17"/>
  <c r="J50" i="17"/>
  <c r="I50" i="17" s="1"/>
  <c r="K40" i="7"/>
  <c r="P10" i="4"/>
  <c r="K51" i="7"/>
  <c r="P22" i="4"/>
  <c r="G36" i="7"/>
  <c r="H37" i="7" s="1"/>
  <c r="I37" i="7" s="1"/>
  <c r="I43" i="7"/>
  <c r="J73" i="7"/>
  <c r="H73" i="7"/>
  <c r="I73" i="7" s="1"/>
  <c r="Q4" i="4" s="1"/>
  <c r="J39" i="7"/>
  <c r="K42" i="7"/>
  <c r="J43" i="7"/>
  <c r="J54" i="7"/>
  <c r="H54" i="7"/>
  <c r="I54" i="7" s="1"/>
  <c r="K54" i="7" s="1"/>
  <c r="J52" i="7"/>
  <c r="K39" i="7"/>
  <c r="J40" i="7"/>
  <c r="K52" i="7"/>
  <c r="I50" i="19"/>
  <c r="H51" i="19"/>
  <c r="G51" i="19" s="1"/>
  <c r="L22" i="4" s="1"/>
  <c r="H78" i="19"/>
  <c r="G78" i="19" s="1"/>
  <c r="I77" i="19"/>
  <c r="H80" i="19"/>
  <c r="G80" i="19" s="1"/>
  <c r="I80" i="19" s="1"/>
  <c r="I77" i="18"/>
  <c r="H78" i="18"/>
  <c r="G78" i="18" s="1"/>
  <c r="H80" i="18"/>
  <c r="G80" i="18" s="1"/>
  <c r="I80" i="18" s="1"/>
  <c r="I51" i="18"/>
  <c r="H54" i="18"/>
  <c r="G54" i="18" s="1"/>
  <c r="I54" i="18" s="1"/>
  <c r="H52" i="18"/>
  <c r="G52" i="18" s="1"/>
  <c r="K45" i="13"/>
  <c r="N16" i="4"/>
  <c r="K76" i="17"/>
  <c r="J77" i="17"/>
  <c r="I77" i="17" s="1"/>
  <c r="S22" i="4" s="1"/>
  <c r="I76" i="16"/>
  <c r="H77" i="16"/>
  <c r="G77" i="16" s="1"/>
  <c r="G22" i="4" s="1"/>
  <c r="I50" i="16"/>
  <c r="H51" i="16"/>
  <c r="G51" i="16" s="1"/>
  <c r="F22" i="4" s="1"/>
  <c r="J46" i="13"/>
  <c r="I46" i="13" s="1"/>
  <c r="J47" i="13" s="1"/>
  <c r="I47" i="13" s="1"/>
  <c r="K76" i="13"/>
  <c r="J77" i="13"/>
  <c r="I77" i="13" s="1"/>
  <c r="O22" i="4" s="1"/>
  <c r="J44" i="7" l="1"/>
  <c r="P14" i="4"/>
  <c r="I52" i="18"/>
  <c r="J23" i="4"/>
  <c r="I78" i="19"/>
  <c r="M23" i="4"/>
  <c r="I78" i="18"/>
  <c r="K23" i="4"/>
  <c r="R21" i="4"/>
  <c r="J51" i="17"/>
  <c r="I51" i="17" s="1"/>
  <c r="K50" i="17"/>
  <c r="K38" i="7"/>
  <c r="P8" i="4"/>
  <c r="K43" i="7"/>
  <c r="K44" i="7"/>
  <c r="H36" i="7"/>
  <c r="I36" i="7" s="1"/>
  <c r="J36" i="7"/>
  <c r="K74" i="7"/>
  <c r="K73" i="7"/>
  <c r="J74" i="7"/>
  <c r="J38" i="7"/>
  <c r="H52" i="19"/>
  <c r="G52" i="19" s="1"/>
  <c r="I51" i="19"/>
  <c r="H54" i="19"/>
  <c r="G54" i="19" s="1"/>
  <c r="I54" i="19" s="1"/>
  <c r="K47" i="13"/>
  <c r="N18" i="4"/>
  <c r="K46" i="13"/>
  <c r="N17" i="4"/>
  <c r="K77" i="17"/>
  <c r="J78" i="17"/>
  <c r="I78" i="17" s="1"/>
  <c r="J80" i="17"/>
  <c r="I80" i="17" s="1"/>
  <c r="K80" i="17" s="1"/>
  <c r="I51" i="16"/>
  <c r="H52" i="16"/>
  <c r="G52" i="16" s="1"/>
  <c r="H54" i="16"/>
  <c r="G54" i="16" s="1"/>
  <c r="I77" i="16"/>
  <c r="H78" i="16"/>
  <c r="G78" i="16" s="1"/>
  <c r="H80" i="16"/>
  <c r="G80" i="16" s="1"/>
  <c r="J48" i="13"/>
  <c r="I48" i="13" s="1"/>
  <c r="N19" i="4" s="1"/>
  <c r="K77" i="13"/>
  <c r="J80" i="13"/>
  <c r="I80" i="13" s="1"/>
  <c r="J78" i="13"/>
  <c r="I78" i="13" s="1"/>
  <c r="R22" i="4" l="1"/>
  <c r="K51" i="17"/>
  <c r="J54" i="17"/>
  <c r="I54" i="17" s="1"/>
  <c r="K54" i="17" s="1"/>
  <c r="J52" i="17"/>
  <c r="I52" i="17" s="1"/>
  <c r="K78" i="17"/>
  <c r="S23" i="4"/>
  <c r="I52" i="19"/>
  <c r="L23" i="4"/>
  <c r="J37" i="7"/>
  <c r="P7" i="4"/>
  <c r="K36" i="7"/>
  <c r="K37" i="7"/>
  <c r="K78" i="13"/>
  <c r="O23" i="4"/>
  <c r="I52" i="16"/>
  <c r="F23" i="4"/>
  <c r="I78" i="16"/>
  <c r="G23" i="4"/>
  <c r="K48" i="13"/>
  <c r="J49" i="13"/>
  <c r="I49" i="13" s="1"/>
  <c r="N20" i="4" s="1"/>
  <c r="K80" i="13"/>
  <c r="I80" i="16"/>
  <c r="I54" i="16"/>
  <c r="K52" i="17" l="1"/>
  <c r="R23" i="4"/>
  <c r="J50" i="13"/>
  <c r="I50" i="13" s="1"/>
  <c r="N21" i="4" s="1"/>
  <c r="K49" i="13"/>
  <c r="K50" i="13" l="1"/>
  <c r="J51" i="13"/>
  <c r="I51" i="13" s="1"/>
  <c r="J52" i="13" s="1"/>
  <c r="I52" i="13" s="1"/>
  <c r="K52" i="13" l="1"/>
  <c r="N23" i="4"/>
  <c r="N22" i="4"/>
  <c r="K51" i="13"/>
  <c r="J54" i="13"/>
  <c r="I54" i="13" s="1"/>
  <c r="K54" i="13" l="1"/>
  <c r="P98" i="7" l="1"/>
  <c r="C99" i="7" l="1"/>
  <c r="C100" i="7" s="1"/>
  <c r="D108" i="7"/>
  <c r="E108" i="7" s="1"/>
  <c r="F108" i="7" s="1"/>
  <c r="G108" i="7" s="1"/>
  <c r="H108" i="7" s="1"/>
  <c r="I108" i="7" s="1"/>
  <c r="J108" i="7" s="1"/>
  <c r="K108" i="7" s="1"/>
  <c r="L108" i="7" s="1"/>
  <c r="C101" i="7" l="1"/>
  <c r="D100" i="7"/>
  <c r="C102" i="7" l="1"/>
  <c r="D101" i="7"/>
  <c r="E101" i="7" s="1"/>
  <c r="G76" i="7" s="1"/>
  <c r="H76" i="7" l="1"/>
  <c r="I76" i="7" s="1"/>
  <c r="J76" i="7"/>
  <c r="C103" i="7"/>
  <c r="D102" i="7"/>
  <c r="E102" i="7" s="1"/>
  <c r="F102" i="7" s="1"/>
  <c r="C104" i="7" l="1"/>
  <c r="D103" i="7"/>
  <c r="E103" i="7" s="1"/>
  <c r="F103" i="7" s="1"/>
  <c r="G103" i="7" s="1"/>
  <c r="Q7" i="4"/>
  <c r="K76" i="7"/>
  <c r="G77" i="7" l="1"/>
  <c r="G82" i="7"/>
  <c r="G78" i="7"/>
  <c r="C105" i="7"/>
  <c r="D104" i="7"/>
  <c r="E104" i="7" s="1"/>
  <c r="F104" i="7" s="1"/>
  <c r="G104" i="7" s="1"/>
  <c r="H104" i="7" l="1"/>
  <c r="G79" i="7"/>
  <c r="C106" i="7"/>
  <c r="D105" i="7"/>
  <c r="E105" i="7" s="1"/>
  <c r="F105" i="7" s="1"/>
  <c r="G105" i="7" s="1"/>
  <c r="H105" i="7" s="1"/>
  <c r="I105" i="7" s="1"/>
  <c r="H78" i="7"/>
  <c r="I78" i="7" s="1"/>
  <c r="H83" i="7"/>
  <c r="I83" i="7" s="1"/>
  <c r="H77" i="7"/>
  <c r="I77" i="7" s="1"/>
  <c r="J78" i="7" s="1"/>
  <c r="J77" i="7"/>
  <c r="G89" i="7" l="1"/>
  <c r="G88" i="7"/>
  <c r="Q14" i="4"/>
  <c r="J84" i="7"/>
  <c r="K84" i="7"/>
  <c r="C107" i="7"/>
  <c r="D107" i="7" s="1"/>
  <c r="E107" i="7" s="1"/>
  <c r="F107" i="7" s="1"/>
  <c r="G107" i="7" s="1"/>
  <c r="H107" i="7" s="1"/>
  <c r="I107" i="7" s="1"/>
  <c r="J107" i="7" s="1"/>
  <c r="K107" i="7" s="1"/>
  <c r="D106" i="7"/>
  <c r="E106" i="7" s="1"/>
  <c r="F106" i="7" s="1"/>
  <c r="H79" i="7"/>
  <c r="I79" i="7" s="1"/>
  <c r="J79" i="7"/>
  <c r="Q9" i="4"/>
  <c r="K78" i="7"/>
  <c r="K77" i="7"/>
  <c r="Q8" i="4"/>
  <c r="G80" i="7"/>
  <c r="G81" i="7"/>
  <c r="G106" i="7" l="1"/>
  <c r="H106" i="7" s="1"/>
  <c r="G91" i="7"/>
  <c r="G92" i="7"/>
  <c r="Q10" i="4"/>
  <c r="K79" i="7"/>
  <c r="H81" i="7"/>
  <c r="I81" i="7" s="1"/>
  <c r="H82" i="7"/>
  <c r="I82" i="7" s="1"/>
  <c r="H80" i="7"/>
  <c r="I80" i="7" s="1"/>
  <c r="J81" i="7" s="1"/>
  <c r="J80" i="7"/>
  <c r="J88" i="7"/>
  <c r="H88" i="7"/>
  <c r="I88" i="7" s="1"/>
  <c r="H89" i="7"/>
  <c r="I89" i="7" s="1"/>
  <c r="K83" i="7" l="1"/>
  <c r="Q13" i="4"/>
  <c r="J83" i="7"/>
  <c r="K82" i="7"/>
  <c r="J82" i="7"/>
  <c r="Q12" i="4"/>
  <c r="Q20" i="4"/>
  <c r="K89" i="7"/>
  <c r="Q19" i="4"/>
  <c r="K88" i="7"/>
  <c r="H94" i="7"/>
  <c r="I94" i="7" s="1"/>
  <c r="K94" i="7" s="1"/>
  <c r="H92" i="7"/>
  <c r="I92" i="7" s="1"/>
  <c r="J89" i="7"/>
  <c r="K81" i="7"/>
  <c r="Q11" i="4"/>
  <c r="K80" i="7"/>
  <c r="I106" i="7"/>
  <c r="J106" i="7" s="1"/>
  <c r="G90" i="7"/>
  <c r="H91" i="7" s="1"/>
  <c r="I91" i="7" s="1"/>
  <c r="J92" i="7" l="1"/>
  <c r="Q22" i="4"/>
  <c r="H90" i="7"/>
  <c r="I90" i="7" s="1"/>
  <c r="K91" i="7" s="1"/>
  <c r="J90" i="7"/>
  <c r="Q23" i="4"/>
  <c r="J94" i="7"/>
  <c r="K92" i="7"/>
  <c r="Q21" i="4" l="1"/>
  <c r="K90" i="7"/>
  <c r="J91" i="7"/>
</calcChain>
</file>

<file path=xl/sharedStrings.xml><?xml version="1.0" encoding="utf-8"?>
<sst xmlns="http://schemas.openxmlformats.org/spreadsheetml/2006/main" count="655" uniqueCount="146">
  <si>
    <t>Year</t>
  </si>
  <si>
    <t>Element 1</t>
  </si>
  <si>
    <t>Starting point</t>
  </si>
  <si>
    <t>Element 2</t>
  </si>
  <si>
    <t>Ceiling</t>
  </si>
  <si>
    <t>Element 3</t>
  </si>
  <si>
    <t>Floor</t>
  </si>
  <si>
    <t>Standardized Primary</t>
  </si>
  <si>
    <t>Standardized Secondary</t>
  </si>
  <si>
    <t>Low Threshold</t>
  </si>
  <si>
    <t>High Threshold</t>
  </si>
  <si>
    <t>Low Multiplier on slope</t>
  </si>
  <si>
    <t>High Multiplier on slope</t>
  </si>
  <si>
    <t>what-if</t>
  </si>
  <si>
    <t>The "what-if" is compleetely adhoc and is not a projection of the index, but an illustration of what may happen if the indices were those values</t>
  </si>
  <si>
    <t>Cells are colored orange when the PSC limit hits the ceiling, and are colored blue when it hits the floor</t>
  </si>
  <si>
    <t>Element 4: Breakpoint</t>
  </si>
  <si>
    <t>Element 5: slope multiplier</t>
  </si>
  <si>
    <t>Primary</t>
  </si>
  <si>
    <t>Secondary</t>
  </si>
  <si>
    <t>Trawl</t>
  </si>
  <si>
    <t>Setline</t>
  </si>
  <si>
    <t>slope modifier for Alt 3</t>
  </si>
  <si>
    <t>Primary Index</t>
  </si>
  <si>
    <t>Trawl index</t>
  </si>
  <si>
    <t>Setline index</t>
  </si>
  <si>
    <t>% change without element 6</t>
  </si>
  <si>
    <t>PSC Limit without Element 6</t>
  </si>
  <si>
    <t>Potential Percent change</t>
  </si>
  <si>
    <t>Actual Percent Change</t>
  </si>
  <si>
    <t>row</t>
  </si>
  <si>
    <t>column</t>
  </si>
  <si>
    <t>floor</t>
  </si>
  <si>
    <t>ceiling</t>
  </si>
  <si>
    <t>Actual non-trawl PSC Limit</t>
  </si>
  <si>
    <t>Actual PSC Limit</t>
  </si>
  <si>
    <t>Scenario</t>
  </si>
  <si>
    <t>Two-year average</t>
  </si>
  <si>
    <t>Primary index</t>
  </si>
  <si>
    <t>Secondary index</t>
  </si>
  <si>
    <t>PSC Limit with Element 6</t>
  </si>
  <si>
    <t>Actual trawl PSC Limit</t>
  </si>
  <si>
    <t>B</t>
  </si>
  <si>
    <t>Alternative</t>
  </si>
  <si>
    <t>2-4</t>
  </si>
  <si>
    <t>2-2</t>
  </si>
  <si>
    <t>2-3</t>
  </si>
  <si>
    <t>2-1</t>
  </si>
  <si>
    <t>3-1</t>
  </si>
  <si>
    <t>Non-trawl</t>
  </si>
  <si>
    <t>PSC Limit</t>
  </si>
  <si>
    <t>Index for Trawl PSC Limit</t>
  </si>
  <si>
    <t>Standardized</t>
  </si>
  <si>
    <t>Index for Non-trawl PSC</t>
  </si>
  <si>
    <t>NA</t>
  </si>
  <si>
    <t>change the what-if values on the "Alternatives" sheet</t>
  </si>
  <si>
    <t>Trawl
PSC Limit</t>
  </si>
  <si>
    <t>Non-trawl
PSC Limit</t>
  </si>
  <si>
    <t>Total</t>
  </si>
  <si>
    <t>Up</t>
  </si>
  <si>
    <t>Down</t>
  </si>
  <si>
    <t>Low Multiplier</t>
  </si>
  <si>
    <t>High Multiplier</t>
  </si>
  <si>
    <t>Element 6 Constraint</t>
  </si>
  <si>
    <t>Gear</t>
  </si>
  <si>
    <t>Standardized Year or Mean</t>
  </si>
  <si>
    <t>Second Index</t>
  </si>
  <si>
    <t>TRAWL PSC LIMIT</t>
  </si>
  <si>
    <t>NON-TRAWL PSC LIMIT</t>
  </si>
  <si>
    <t>The values in highlighted cells (yellow) are to be changed</t>
  </si>
  <si>
    <t>Index</t>
  </si>
  <si>
    <t>Choose trawl or setline</t>
  </si>
  <si>
    <t>Starting Point</t>
  </si>
  <si>
    <t>Breakpoint</t>
  </si>
  <si>
    <t>Slope Multiplier</t>
  </si>
  <si>
    <t>Constraint</t>
  </si>
  <si>
    <t>The PSC when the standardized primary index is 1.0 and the secondary index has no effect</t>
  </si>
  <si>
    <t>The maximum PSC limit</t>
  </si>
  <si>
    <t>The minimum PSC limit</t>
  </si>
  <si>
    <t>The value of the standardized primary index where the slope changes or is affected by the secondary index</t>
  </si>
  <si>
    <t>The maximum annual percent change in the PSC limit</t>
  </si>
  <si>
    <t>Standardize</t>
  </si>
  <si>
    <t>The year or the mean to standardize the index to</t>
  </si>
  <si>
    <t>Mean</t>
  </si>
  <si>
    <t>Trawl Survey
Index Breakpoints</t>
  </si>
  <si>
    <t>Trawl PSC Limit</t>
  </si>
  <si>
    <t>Non-trawl PSC Limit</t>
  </si>
  <si>
    <t>Non-Trawl Survey
Index Breakpoints</t>
  </si>
  <si>
    <t>Determined from trawl breakpoints</t>
  </si>
  <si>
    <t>Primary Index Standardzied to average</t>
  </si>
  <si>
    <t>Secondary Index Standardized to average</t>
  </si>
  <si>
    <t>TRAWL</t>
  </si>
  <si>
    <t>NON-TRAWL</t>
  </si>
  <si>
    <t>slopeHi</t>
  </si>
  <si>
    <t>slopeLow</t>
  </si>
  <si>
    <t>As calculated in early 2019</t>
  </si>
  <si>
    <t>3-2a</t>
  </si>
  <si>
    <t>3-3a</t>
  </si>
  <si>
    <t>The multiplier on the slope when above or below the breakpoints</t>
  </si>
  <si>
    <t>The "what-if" is completely adhoc and is not a projection of the index, but an illustration of what may happen if the indices were those values</t>
  </si>
  <si>
    <t>Table 2‑3.</t>
  </si>
  <si>
    <r>
      <t xml:space="preserve">Combination of alternatives included in analysis. Numbering for each alternative shows the Overarching Alternative (1,2,3) then secondary numbering to group sub-sets by similar elements and options (e.g., 201, 3-1).  See Figure 2‑8 for further explanation of selections of Elements and Options to formulate each alternative shown. Each index is standardized to the most recent year, unless “mean” is specified which implies it is standardized to the mean of the series from 1998 to the current year. “By gear” means that the trawl index is linked to the trawl fishery and likewise for non-trawl gear. </t>
    </r>
    <r>
      <rPr>
        <b/>
        <sz val="11"/>
        <color theme="1"/>
        <rFont val="Times New Roman"/>
        <family val="1"/>
      </rPr>
      <t>Elements (1-3) apply 20:80 ratio between non-trawl and trawl PSC to calculate gear-specific starting points (S.P. Element 1), Ceilings (Element 2) and floors (Element 3).</t>
    </r>
    <r>
      <rPr>
        <sz val="11"/>
        <color theme="1"/>
        <rFont val="Times New Roman"/>
        <family val="1"/>
      </rPr>
      <t xml:space="preserve"> “Constraint” indicates how much a PSC limit can change from one year to the next (Element 6) while “type” indicates whether it is a continuous control rule with or without breakpoints or a ‘Look up Table” from Element 7 and shown as “discrete”.</t>
    </r>
  </si>
  <si>
    <t>Elements</t>
  </si>
  <si>
    <t>Indices used</t>
  </si>
  <si>
    <t>Source</t>
  </si>
  <si>
    <t xml:space="preserve">Primary </t>
  </si>
  <si>
    <t xml:space="preserve">Secondary </t>
  </si>
  <si>
    <t>Break points</t>
  </si>
  <si>
    <t>Responsiveness</t>
  </si>
  <si>
    <t>Type</t>
  </si>
  <si>
    <t>Status quo</t>
  </si>
  <si>
    <t>WG</t>
  </si>
  <si>
    <t>By gear</t>
  </si>
  <si>
    <t>none</t>
  </si>
  <si>
    <t>15% max</t>
  </si>
  <si>
    <t>Continuous</t>
  </si>
  <si>
    <t>2-1.a</t>
  </si>
  <si>
    <t>2-1.b</t>
  </si>
  <si>
    <t>SSC</t>
  </si>
  <si>
    <t>Stakeholder</t>
  </si>
  <si>
    <t xml:space="preserve">By gear </t>
  </si>
  <si>
    <t xml:space="preserve">specified </t>
  </si>
  <si>
    <t xml:space="preserve">Stairsteps </t>
  </si>
  <si>
    <t xml:space="preserve">2 yr avg </t>
  </si>
  <si>
    <t>Start</t>
  </si>
  <si>
    <t>1:1 (low) 0.5:1 (high)</t>
  </si>
  <si>
    <t>Other (mean)</t>
  </si>
  <si>
    <t>±25%</t>
  </si>
  <si>
    <t>3-1.a</t>
  </si>
  <si>
    <t>3-1.b</t>
  </si>
  <si>
    <t>3-1.c</t>
  </si>
  <si>
    <t>Discrete</t>
  </si>
  <si>
    <t>3-1.d</t>
  </si>
  <si>
    <t>3-2.a</t>
  </si>
  <si>
    <t>Gear (mean)</t>
  </si>
  <si>
    <t>Interpolated</t>
  </si>
  <si>
    <t>3-2.b</t>
  </si>
  <si>
    <t xml:space="preserve">Setline </t>
  </si>
  <si>
    <t>Trawl (mean)</t>
  </si>
  <si>
    <t>S.P</t>
  </si>
  <si>
    <t>Secondary 0.35:1</t>
  </si>
  <si>
    <t>20% max</t>
  </si>
  <si>
    <t>3-3b</t>
  </si>
  <si>
    <t>Setline (mean)</t>
  </si>
  <si>
    <t>2nd Index 0.5:1 (low),1.5:1 (high)</t>
  </si>
  <si>
    <t>This workbook is provided for convenience and illustration, and is not to be used for final decision. The calculations are not guaranteed.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</si>
</sst>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4" x14ac:knownFonts="1">
    <font>
      <sz val="11"/>
      <color theme="1"/>
      <name val="Calibri"/>
      <family val="2"/>
      <scheme val="minor"/>
    </font>
    <font>
      <b/>
      <sz val="11"/>
      <color theme="1"/>
      <name val="Calibri"/>
      <family val="2"/>
      <scheme val="minor"/>
    </font>
    <font>
      <sz val="11"/>
      <color theme="0" tint="-0.499984740745262"/>
      <name val="Calibri"/>
      <family val="2"/>
      <scheme val="minor"/>
    </font>
    <font>
      <b/>
      <sz val="11"/>
      <color theme="0"/>
      <name val="Calibri"/>
      <family val="2"/>
      <scheme val="minor"/>
    </font>
    <font>
      <sz val="11"/>
      <color theme="0"/>
      <name val="Calibri"/>
      <family val="2"/>
      <scheme val="minor"/>
    </font>
    <font>
      <sz val="11"/>
      <color theme="0" tint="-0.14999847407452621"/>
      <name val="Calibri"/>
      <family val="2"/>
      <scheme val="minor"/>
    </font>
    <font>
      <sz val="11"/>
      <color theme="1"/>
      <name val="Calibri"/>
      <family val="2"/>
      <scheme val="minor"/>
    </font>
    <font>
      <sz val="11"/>
      <color theme="0" tint="-4.9989318521683403E-2"/>
      <name val="Calibri"/>
      <family val="2"/>
      <scheme val="minor"/>
    </font>
    <font>
      <b/>
      <sz val="16"/>
      <color theme="0"/>
      <name val="Calibri"/>
      <family val="2"/>
      <scheme val="minor"/>
    </font>
    <font>
      <sz val="11"/>
      <color theme="0" tint="-0.249977111117893"/>
      <name val="Calibri"/>
      <family val="2"/>
      <scheme val="minor"/>
    </font>
    <font>
      <b/>
      <sz val="11"/>
      <color theme="0" tint="-4.9989318521683403E-2"/>
      <name val="Calibri"/>
      <family val="2"/>
      <scheme val="minor"/>
    </font>
    <font>
      <i/>
      <sz val="11"/>
      <color theme="1"/>
      <name val="Calibri"/>
      <family val="2"/>
      <scheme val="minor"/>
    </font>
    <font>
      <sz val="11"/>
      <color theme="1"/>
      <name val="Times New Roman"/>
      <family val="1"/>
    </font>
    <font>
      <b/>
      <sz val="11"/>
      <color theme="1"/>
      <name val="Times New Roman"/>
      <family val="1"/>
    </font>
  </fonts>
  <fills count="6">
    <fill>
      <patternFill patternType="none"/>
    </fill>
    <fill>
      <patternFill patternType="gray125"/>
    </fill>
    <fill>
      <patternFill patternType="solid">
        <fgColor rgb="FFFFFF00"/>
        <bgColor indexed="64"/>
      </patternFill>
    </fill>
    <fill>
      <patternFill patternType="solid">
        <fgColor theme="2" tint="-9.9978637043366805E-2"/>
        <bgColor indexed="64"/>
      </patternFill>
    </fill>
    <fill>
      <patternFill patternType="solid">
        <fgColor theme="1" tint="4.9989318521683403E-2"/>
        <bgColor indexed="64"/>
      </patternFill>
    </fill>
    <fill>
      <patternFill patternType="solid">
        <fgColor theme="1"/>
        <bgColor indexed="64"/>
      </patternFill>
    </fill>
  </fills>
  <borders count="28">
    <border>
      <left/>
      <right/>
      <top/>
      <bottom/>
      <diagonal/>
    </border>
    <border>
      <left/>
      <right/>
      <top/>
      <bottom style="thin">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s>
  <cellStyleXfs count="2">
    <xf numFmtId="0" fontId="0" fillId="0" borderId="0"/>
    <xf numFmtId="9" fontId="6" fillId="0" borderId="0" applyFont="0" applyFill="0" applyBorder="0" applyAlignment="0" applyProtection="0"/>
  </cellStyleXfs>
  <cellXfs count="186">
    <xf numFmtId="0" fontId="0" fillId="0" borderId="0" xfId="0"/>
    <xf numFmtId="0" fontId="0" fillId="0" borderId="0" xfId="0" applyAlignment="1">
      <alignment horizontal="center" wrapText="1"/>
    </xf>
    <xf numFmtId="0" fontId="0" fillId="0" borderId="0" xfId="0" applyAlignment="1">
      <alignment horizontal="center"/>
    </xf>
    <xf numFmtId="0" fontId="0" fillId="0" borderId="0" xfId="0" applyAlignment="1">
      <alignment horizontal="left"/>
    </xf>
    <xf numFmtId="0" fontId="0" fillId="0" borderId="0" xfId="0" applyFill="1" applyAlignment="1">
      <alignment horizontal="center"/>
    </xf>
    <xf numFmtId="0" fontId="1" fillId="0" borderId="0" xfId="0" applyFont="1" applyAlignment="1">
      <alignment horizontal="center" wrapText="1"/>
    </xf>
    <xf numFmtId="3" fontId="1" fillId="0" borderId="0" xfId="0" applyNumberFormat="1" applyFont="1" applyAlignment="1">
      <alignment horizontal="center"/>
    </xf>
    <xf numFmtId="0" fontId="2" fillId="0" borderId="0" xfId="0" applyFont="1" applyAlignment="1">
      <alignment horizontal="center"/>
    </xf>
    <xf numFmtId="0" fontId="1" fillId="0" borderId="0" xfId="0" applyFont="1" applyAlignment="1">
      <alignment horizontal="left" wrapText="1"/>
    </xf>
    <xf numFmtId="0" fontId="0" fillId="3" borderId="0" xfId="0" applyFill="1" applyAlignment="1">
      <alignment horizontal="left"/>
    </xf>
    <xf numFmtId="0" fontId="0" fillId="3" borderId="0" xfId="0" applyFill="1"/>
    <xf numFmtId="0" fontId="5" fillId="0" borderId="0" xfId="0" applyFont="1" applyAlignment="1">
      <alignment horizontal="center"/>
    </xf>
    <xf numFmtId="0" fontId="5" fillId="0" borderId="0" xfId="0" applyFont="1"/>
    <xf numFmtId="9" fontId="0" fillId="0" borderId="0" xfId="1" applyFont="1"/>
    <xf numFmtId="3" fontId="1" fillId="0" borderId="0" xfId="0" applyNumberFormat="1" applyFont="1"/>
    <xf numFmtId="0" fontId="7" fillId="0" borderId="0" xfId="0" applyFont="1"/>
    <xf numFmtId="3" fontId="0" fillId="0" borderId="0" xfId="0" applyNumberFormat="1" applyAlignment="1">
      <alignment horizontal="center"/>
    </xf>
    <xf numFmtId="0" fontId="9" fillId="0" borderId="0" xfId="0" applyFont="1" applyAlignment="1">
      <alignment horizontal="center" wrapText="1"/>
    </xf>
    <xf numFmtId="0" fontId="9" fillId="0" borderId="0" xfId="0" applyFont="1"/>
    <xf numFmtId="0" fontId="0" fillId="3" borderId="0" xfId="0" applyFill="1" applyAlignment="1">
      <alignment horizontal="center"/>
    </xf>
    <xf numFmtId="0" fontId="0" fillId="0" borderId="8" xfId="0" applyBorder="1" applyAlignment="1">
      <alignment horizontal="left"/>
    </xf>
    <xf numFmtId="0" fontId="0" fillId="0" borderId="0" xfId="0" applyBorder="1" applyAlignment="1">
      <alignment horizontal="center"/>
    </xf>
    <xf numFmtId="164" fontId="0" fillId="0" borderId="0" xfId="0" applyNumberFormat="1" applyBorder="1" applyAlignment="1">
      <alignment horizontal="center"/>
    </xf>
    <xf numFmtId="164" fontId="0" fillId="0" borderId="9" xfId="0" applyNumberFormat="1" applyBorder="1" applyAlignment="1">
      <alignment horizontal="center"/>
    </xf>
    <xf numFmtId="0" fontId="0" fillId="0" borderId="10" xfId="0" applyBorder="1" applyAlignment="1">
      <alignment horizontal="left"/>
    </xf>
    <xf numFmtId="0" fontId="0" fillId="0" borderId="1" xfId="0" applyBorder="1" applyAlignment="1">
      <alignment horizontal="center"/>
    </xf>
    <xf numFmtId="164" fontId="0" fillId="0" borderId="11" xfId="0" applyNumberFormat="1" applyBorder="1" applyAlignment="1">
      <alignment horizontal="center"/>
    </xf>
    <xf numFmtId="0" fontId="0" fillId="0" borderId="8" xfId="0" applyBorder="1" applyAlignment="1">
      <alignment horizontal="center"/>
    </xf>
    <xf numFmtId="0" fontId="0" fillId="0" borderId="10" xfId="0" applyBorder="1" applyAlignment="1">
      <alignment horizontal="center"/>
    </xf>
    <xf numFmtId="0" fontId="1" fillId="0" borderId="12" xfId="0" applyFont="1" applyBorder="1" applyAlignment="1">
      <alignment horizontal="left" wrapText="1"/>
    </xf>
    <xf numFmtId="0" fontId="1" fillId="0" borderId="12" xfId="0" applyFont="1" applyBorder="1" applyAlignment="1">
      <alignment horizontal="center" wrapText="1"/>
    </xf>
    <xf numFmtId="0" fontId="1" fillId="0" borderId="13" xfId="0" applyFont="1" applyBorder="1" applyAlignment="1">
      <alignment horizontal="center" wrapText="1"/>
    </xf>
    <xf numFmtId="0" fontId="1" fillId="0" borderId="14" xfId="0" applyFont="1" applyBorder="1" applyAlignment="1">
      <alignment horizontal="center" wrapText="1"/>
    </xf>
    <xf numFmtId="0" fontId="0" fillId="3" borderId="0" xfId="0" applyFill="1" applyBorder="1" applyAlignment="1">
      <alignment horizontal="center"/>
    </xf>
    <xf numFmtId="0" fontId="0" fillId="0" borderId="15" xfId="0" applyBorder="1" applyAlignment="1">
      <alignment horizontal="left"/>
    </xf>
    <xf numFmtId="0" fontId="0" fillId="2" borderId="9" xfId="0" applyFill="1" applyBorder="1" applyAlignment="1">
      <alignment horizontal="center"/>
    </xf>
    <xf numFmtId="0" fontId="0" fillId="2" borderId="11" xfId="0" applyFill="1" applyBorder="1" applyAlignment="1">
      <alignment horizontal="center"/>
    </xf>
    <xf numFmtId="0" fontId="0" fillId="0" borderId="9" xfId="0" applyBorder="1" applyAlignment="1">
      <alignment horizontal="center"/>
    </xf>
    <xf numFmtId="0" fontId="0" fillId="0" borderId="11" xfId="0" applyBorder="1" applyAlignment="1">
      <alignment horizontal="center"/>
    </xf>
    <xf numFmtId="0" fontId="1" fillId="3" borderId="1" xfId="0" applyFont="1" applyFill="1" applyBorder="1" applyAlignment="1">
      <alignment horizontal="center"/>
    </xf>
    <xf numFmtId="0" fontId="0" fillId="2" borderId="0" xfId="0" applyFill="1" applyBorder="1" applyAlignment="1">
      <alignment horizontal="center"/>
    </xf>
    <xf numFmtId="0" fontId="0" fillId="2" borderId="1" xfId="0" applyFill="1" applyBorder="1" applyAlignment="1">
      <alignment horizontal="center"/>
    </xf>
    <xf numFmtId="0" fontId="1" fillId="3" borderId="11" xfId="0" applyFont="1" applyFill="1" applyBorder="1" applyAlignment="1">
      <alignment horizontal="center"/>
    </xf>
    <xf numFmtId="0" fontId="1" fillId="0" borderId="17" xfId="0" applyFont="1" applyBorder="1" applyAlignment="1">
      <alignment horizontal="center"/>
    </xf>
    <xf numFmtId="0" fontId="0" fillId="0" borderId="15" xfId="0" applyBorder="1" applyAlignment="1">
      <alignment horizontal="center"/>
    </xf>
    <xf numFmtId="0" fontId="0" fillId="0" borderId="17" xfId="0" applyBorder="1" applyAlignment="1">
      <alignment horizontal="center"/>
    </xf>
    <xf numFmtId="0" fontId="3" fillId="4" borderId="6" xfId="0" applyFont="1" applyFill="1" applyBorder="1" applyAlignment="1">
      <alignment horizontal="center"/>
    </xf>
    <xf numFmtId="0" fontId="3" fillId="4" borderId="7" xfId="0" applyFont="1" applyFill="1" applyBorder="1" applyAlignment="1">
      <alignment horizontal="center"/>
    </xf>
    <xf numFmtId="0" fontId="0" fillId="0" borderId="0" xfId="0" applyFill="1" applyBorder="1" applyAlignment="1">
      <alignment horizontal="center"/>
    </xf>
    <xf numFmtId="0" fontId="0" fillId="0" borderId="12" xfId="0" applyBorder="1" applyAlignment="1">
      <alignment horizontal="center"/>
    </xf>
    <xf numFmtId="0" fontId="0" fillId="0" borderId="14" xfId="0" applyFill="1" applyBorder="1" applyAlignment="1">
      <alignment horizontal="center"/>
    </xf>
    <xf numFmtId="0" fontId="0" fillId="0" borderId="14" xfId="0" applyBorder="1" applyAlignment="1">
      <alignment horizontal="center"/>
    </xf>
    <xf numFmtId="0" fontId="0" fillId="0" borderId="13" xfId="0" applyBorder="1" applyAlignment="1">
      <alignment horizontal="center"/>
    </xf>
    <xf numFmtId="0" fontId="0" fillId="0" borderId="8" xfId="0" applyBorder="1"/>
    <xf numFmtId="0" fontId="0" fillId="0" borderId="10" xfId="0" applyBorder="1"/>
    <xf numFmtId="0" fontId="4" fillId="4" borderId="10" xfId="0" applyFont="1" applyFill="1" applyBorder="1" applyAlignment="1">
      <alignment horizontal="center" wrapText="1"/>
    </xf>
    <xf numFmtId="0" fontId="4" fillId="4" borderId="1" xfId="0" applyFont="1" applyFill="1" applyBorder="1" applyAlignment="1">
      <alignment horizontal="center" wrapText="1"/>
    </xf>
    <xf numFmtId="0" fontId="4" fillId="4" borderId="11" xfId="0" applyFont="1" applyFill="1" applyBorder="1" applyAlignment="1">
      <alignment horizontal="center" wrapText="1"/>
    </xf>
    <xf numFmtId="0" fontId="0" fillId="0" borderId="9" xfId="0" applyFill="1" applyBorder="1" applyAlignment="1">
      <alignment horizontal="center"/>
    </xf>
    <xf numFmtId="0" fontId="0" fillId="0" borderId="11" xfId="0" applyFill="1" applyBorder="1" applyAlignment="1">
      <alignment horizontal="center"/>
    </xf>
    <xf numFmtId="9" fontId="0" fillId="0" borderId="0" xfId="0" applyNumberFormat="1" applyFill="1" applyBorder="1" applyAlignment="1">
      <alignment horizontal="center"/>
    </xf>
    <xf numFmtId="9" fontId="0" fillId="0" borderId="0" xfId="0" applyNumberFormat="1" applyFill="1" applyAlignment="1">
      <alignment horizontal="center"/>
    </xf>
    <xf numFmtId="0" fontId="0" fillId="0" borderId="1" xfId="0" applyFill="1" applyBorder="1" applyAlignment="1">
      <alignment horizontal="center"/>
    </xf>
    <xf numFmtId="0" fontId="3" fillId="4" borderId="6" xfId="0" applyFont="1" applyFill="1" applyBorder="1" applyAlignment="1"/>
    <xf numFmtId="0" fontId="3" fillId="4" borderId="7" xfId="0" applyFont="1" applyFill="1" applyBorder="1" applyAlignment="1"/>
    <xf numFmtId="0" fontId="0" fillId="0" borderId="0" xfId="0" applyBorder="1"/>
    <xf numFmtId="0" fontId="3" fillId="4" borderId="16" xfId="0" applyFont="1" applyFill="1" applyBorder="1" applyAlignment="1"/>
    <xf numFmtId="0" fontId="0" fillId="3" borderId="15" xfId="0" applyFill="1" applyBorder="1"/>
    <xf numFmtId="0" fontId="0" fillId="3" borderId="17" xfId="0" applyFill="1" applyBorder="1"/>
    <xf numFmtId="0" fontId="3" fillId="4" borderId="5" xfId="0" applyFont="1" applyFill="1" applyBorder="1" applyAlignment="1">
      <alignment horizontal="center"/>
    </xf>
    <xf numFmtId="0" fontId="0" fillId="0" borderId="4" xfId="0" applyBorder="1" applyAlignment="1">
      <alignment horizontal="center"/>
    </xf>
    <xf numFmtId="0" fontId="0" fillId="3" borderId="8" xfId="0" applyFill="1" applyBorder="1" applyAlignment="1">
      <alignment horizontal="center"/>
    </xf>
    <xf numFmtId="0" fontId="0" fillId="3" borderId="10" xfId="0" applyFill="1" applyBorder="1" applyAlignment="1">
      <alignment horizontal="center"/>
    </xf>
    <xf numFmtId="0" fontId="0" fillId="3" borderId="15" xfId="0" applyFill="1" applyBorder="1" applyAlignment="1">
      <alignment horizontal="center"/>
    </xf>
    <xf numFmtId="0" fontId="0" fillId="3" borderId="17" xfId="0" applyFill="1" applyBorder="1" applyAlignment="1">
      <alignment horizontal="center"/>
    </xf>
    <xf numFmtId="9" fontId="0" fillId="2" borderId="9" xfId="0" applyNumberFormat="1" applyFill="1" applyBorder="1" applyAlignment="1">
      <alignment horizontal="center"/>
    </xf>
    <xf numFmtId="9" fontId="0" fillId="2" borderId="11" xfId="0" applyNumberFormat="1" applyFill="1" applyBorder="1" applyAlignment="1">
      <alignment horizontal="center"/>
    </xf>
    <xf numFmtId="0" fontId="1" fillId="0" borderId="20" xfId="0" applyFont="1" applyBorder="1" applyAlignment="1">
      <alignment horizontal="left" wrapText="1"/>
    </xf>
    <xf numFmtId="0" fontId="1" fillId="0" borderId="0" xfId="0" applyFont="1" applyBorder="1" applyAlignment="1">
      <alignment horizontal="center" wrapText="1"/>
    </xf>
    <xf numFmtId="0" fontId="0" fillId="0" borderId="0" xfId="0" applyBorder="1" applyAlignment="1">
      <alignment horizontal="center" wrapText="1"/>
    </xf>
    <xf numFmtId="0" fontId="0" fillId="0" borderId="21" xfId="0" applyFont="1" applyBorder="1" applyAlignment="1">
      <alignment horizontal="center" wrapText="1"/>
    </xf>
    <xf numFmtId="0" fontId="0" fillId="0" borderId="20" xfId="0" applyBorder="1" applyAlignment="1">
      <alignment horizontal="left"/>
    </xf>
    <xf numFmtId="3" fontId="1" fillId="0" borderId="0" xfId="0" applyNumberFormat="1" applyFont="1" applyBorder="1" applyAlignment="1">
      <alignment horizontal="center"/>
    </xf>
    <xf numFmtId="0" fontId="0" fillId="0" borderId="21" xfId="0" applyBorder="1"/>
    <xf numFmtId="9" fontId="0" fillId="0" borderId="0" xfId="1" applyFont="1" applyBorder="1"/>
    <xf numFmtId="9" fontId="0" fillId="0" borderId="21" xfId="1" applyFont="1" applyBorder="1"/>
    <xf numFmtId="0" fontId="0" fillId="0" borderId="22" xfId="0" applyBorder="1" applyAlignment="1">
      <alignment horizontal="left"/>
    </xf>
    <xf numFmtId="0" fontId="0" fillId="0" borderId="3" xfId="0" applyBorder="1"/>
    <xf numFmtId="3" fontId="1" fillId="0" borderId="3" xfId="0" applyNumberFormat="1" applyFont="1" applyBorder="1" applyAlignment="1">
      <alignment horizontal="center"/>
    </xf>
    <xf numFmtId="9" fontId="0" fillId="0" borderId="3" xfId="1" applyFont="1" applyBorder="1"/>
    <xf numFmtId="9" fontId="0" fillId="0" borderId="23" xfId="1" applyFont="1" applyBorder="1"/>
    <xf numFmtId="164" fontId="0" fillId="0" borderId="3" xfId="0" applyNumberFormat="1" applyBorder="1" applyAlignment="1">
      <alignment horizontal="center"/>
    </xf>
    <xf numFmtId="0" fontId="3" fillId="4" borderId="5" xfId="0" applyFont="1" applyFill="1" applyBorder="1" applyAlignment="1">
      <alignment horizontal="center"/>
    </xf>
    <xf numFmtId="0" fontId="3" fillId="4" borderId="7" xfId="0" applyFont="1" applyFill="1" applyBorder="1" applyAlignment="1">
      <alignment horizontal="center"/>
    </xf>
    <xf numFmtId="0" fontId="0" fillId="3" borderId="8" xfId="0" applyFill="1" applyBorder="1" applyAlignment="1">
      <alignment horizontal="left"/>
    </xf>
    <xf numFmtId="0" fontId="0" fillId="3" borderId="10" xfId="0" applyFill="1" applyBorder="1" applyAlignment="1">
      <alignment horizontal="left"/>
    </xf>
    <xf numFmtId="0" fontId="0" fillId="2" borderId="0" xfId="0" applyFill="1" applyBorder="1"/>
    <xf numFmtId="0" fontId="0" fillId="2" borderId="9" xfId="0" applyFill="1" applyBorder="1"/>
    <xf numFmtId="0" fontId="0" fillId="2" borderId="1" xfId="0" applyFill="1" applyBorder="1"/>
    <xf numFmtId="0" fontId="0" fillId="2" borderId="11" xfId="0" applyFill="1" applyBorder="1"/>
    <xf numFmtId="0" fontId="0" fillId="0" borderId="9" xfId="0" applyFill="1" applyBorder="1"/>
    <xf numFmtId="0" fontId="0" fillId="0" borderId="11" xfId="0" applyFill="1" applyBorder="1"/>
    <xf numFmtId="0" fontId="3" fillId="4" borderId="18" xfId="0" applyFont="1" applyFill="1" applyBorder="1" applyAlignment="1">
      <alignment wrapText="1"/>
    </xf>
    <xf numFmtId="0" fontId="3" fillId="4" borderId="2" xfId="0" applyFont="1" applyFill="1" applyBorder="1" applyAlignment="1">
      <alignment wrapText="1"/>
    </xf>
    <xf numFmtId="0" fontId="3" fillId="4" borderId="19" xfId="0" applyFont="1" applyFill="1" applyBorder="1" applyAlignment="1">
      <alignment wrapText="1"/>
    </xf>
    <xf numFmtId="3" fontId="0" fillId="0" borderId="8" xfId="0" applyNumberFormat="1" applyBorder="1" applyAlignment="1">
      <alignment horizontal="center"/>
    </xf>
    <xf numFmtId="3" fontId="0" fillId="0" borderId="9" xfId="0" applyNumberFormat="1" applyBorder="1" applyAlignment="1">
      <alignment horizontal="center"/>
    </xf>
    <xf numFmtId="0" fontId="3" fillId="4" borderId="5" xfId="0" applyFont="1" applyFill="1" applyBorder="1" applyAlignment="1">
      <alignment horizontal="center"/>
    </xf>
    <xf numFmtId="0" fontId="3" fillId="4" borderId="7" xfId="0" applyFont="1" applyFill="1" applyBorder="1" applyAlignment="1">
      <alignment horizontal="center"/>
    </xf>
    <xf numFmtId="0" fontId="1" fillId="0" borderId="0" xfId="0" applyFont="1"/>
    <xf numFmtId="1" fontId="0" fillId="0" borderId="0" xfId="0" applyNumberFormat="1"/>
    <xf numFmtId="0" fontId="0" fillId="0" borderId="1" xfId="0" applyBorder="1" applyAlignment="1">
      <alignment horizontal="left"/>
    </xf>
    <xf numFmtId="0" fontId="0" fillId="0" borderId="0" xfId="0" applyAlignment="1">
      <alignment vertical="center"/>
    </xf>
    <xf numFmtId="0" fontId="0" fillId="0" borderId="0" xfId="0" applyFill="1"/>
    <xf numFmtId="0" fontId="3" fillId="4" borderId="5" xfId="0" applyFont="1" applyFill="1" applyBorder="1" applyAlignment="1">
      <alignment horizontal="center"/>
    </xf>
    <xf numFmtId="0" fontId="3" fillId="4" borderId="7" xfId="0" applyFont="1" applyFill="1" applyBorder="1" applyAlignment="1">
      <alignment horizontal="center"/>
    </xf>
    <xf numFmtId="0" fontId="1" fillId="0" borderId="21" xfId="0" applyFont="1" applyBorder="1" applyAlignment="1">
      <alignment horizontal="center" wrapText="1"/>
    </xf>
    <xf numFmtId="3" fontId="0" fillId="0" borderId="0" xfId="0" applyNumberFormat="1" applyBorder="1" applyAlignment="1">
      <alignment horizontal="center"/>
    </xf>
    <xf numFmtId="3" fontId="0" fillId="0" borderId="21" xfId="0" applyNumberFormat="1" applyBorder="1"/>
    <xf numFmtId="3" fontId="0" fillId="0" borderId="3" xfId="0" applyNumberFormat="1" applyBorder="1" applyAlignment="1">
      <alignment horizontal="center"/>
    </xf>
    <xf numFmtId="3" fontId="0" fillId="0" borderId="23" xfId="0" applyNumberFormat="1" applyBorder="1"/>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3" fillId="5" borderId="5" xfId="0" applyFont="1" applyFill="1" applyBorder="1" applyAlignment="1">
      <alignment vertical="center" wrapText="1"/>
    </xf>
    <xf numFmtId="0" fontId="3" fillId="5" borderId="8" xfId="0" applyFont="1" applyFill="1" applyBorder="1" applyAlignment="1">
      <alignment vertical="center" wrapText="1"/>
    </xf>
    <xf numFmtId="0" fontId="3" fillId="5" borderId="8" xfId="0" applyFont="1" applyFill="1" applyBorder="1"/>
    <xf numFmtId="0" fontId="3" fillId="5" borderId="10" xfId="0" applyFont="1" applyFill="1" applyBorder="1"/>
    <xf numFmtId="1" fontId="0" fillId="0" borderId="0" xfId="0" applyNumberFormat="1" applyFill="1" applyBorder="1" applyAlignment="1">
      <alignment horizontal="center" vertical="center"/>
    </xf>
    <xf numFmtId="1" fontId="0" fillId="0" borderId="9" xfId="0" applyNumberFormat="1" applyFill="1" applyBorder="1" applyAlignment="1">
      <alignment horizontal="center" vertical="center"/>
    </xf>
    <xf numFmtId="0" fontId="2" fillId="0" borderId="0" xfId="0" applyFont="1" applyAlignment="1">
      <alignment vertical="center"/>
    </xf>
    <xf numFmtId="0" fontId="10" fillId="0" borderId="0" xfId="0" applyFont="1" applyFill="1" applyBorder="1" applyAlignment="1">
      <alignment horizontal="center" wrapText="1"/>
    </xf>
    <xf numFmtId="0" fontId="7" fillId="0" borderId="0" xfId="0" applyFont="1" applyAlignment="1">
      <alignment horizontal="center"/>
    </xf>
    <xf numFmtId="0" fontId="3" fillId="4" borderId="18" xfId="0" applyFont="1" applyFill="1" applyBorder="1" applyAlignment="1">
      <alignment horizontal="left" wrapText="1"/>
    </xf>
    <xf numFmtId="0" fontId="3" fillId="4" borderId="2" xfId="0" applyFont="1" applyFill="1" applyBorder="1" applyAlignment="1">
      <alignment horizontal="left" wrapText="1"/>
    </xf>
    <xf numFmtId="0" fontId="3" fillId="4" borderId="19" xfId="0" applyFont="1" applyFill="1" applyBorder="1" applyAlignment="1">
      <alignment horizontal="left" wrapText="1"/>
    </xf>
    <xf numFmtId="3" fontId="0" fillId="0" borderId="0" xfId="0" applyNumberFormat="1" applyFont="1" applyBorder="1" applyAlignment="1">
      <alignment horizontal="center"/>
    </xf>
    <xf numFmtId="3" fontId="0" fillId="0" borderId="3" xfId="0" applyNumberFormat="1" applyFont="1" applyBorder="1" applyAlignment="1">
      <alignment horizontal="center"/>
    </xf>
    <xf numFmtId="0" fontId="3" fillId="4" borderId="18" xfId="0" applyFont="1" applyFill="1" applyBorder="1" applyAlignment="1">
      <alignment horizontal="left"/>
    </xf>
    <xf numFmtId="0" fontId="11" fillId="0" borderId="0" xfId="0" applyFont="1"/>
    <xf numFmtId="0" fontId="1" fillId="0" borderId="5" xfId="0" applyFont="1" applyBorder="1" applyAlignment="1">
      <alignment horizontal="left" wrapText="1"/>
    </xf>
    <xf numFmtId="0" fontId="1" fillId="0" borderId="6" xfId="0" applyFont="1" applyBorder="1" applyAlignment="1">
      <alignment horizontal="center" wrapText="1"/>
    </xf>
    <xf numFmtId="0" fontId="1" fillId="0" borderId="5" xfId="0" applyFont="1" applyBorder="1" applyAlignment="1">
      <alignment horizontal="center" wrapText="1"/>
    </xf>
    <xf numFmtId="0" fontId="1" fillId="0" borderId="7" xfId="0" applyFont="1" applyBorder="1" applyAlignment="1">
      <alignment horizontal="center" wrapText="1"/>
    </xf>
    <xf numFmtId="3" fontId="0" fillId="0" borderId="10" xfId="0" applyNumberFormat="1" applyBorder="1" applyAlignment="1">
      <alignment horizontal="center"/>
    </xf>
    <xf numFmtId="3" fontId="0" fillId="0" borderId="11" xfId="0" applyNumberFormat="1" applyBorder="1" applyAlignment="1">
      <alignment horizontal="center"/>
    </xf>
    <xf numFmtId="3" fontId="0" fillId="0" borderId="1" xfId="0" applyNumberFormat="1" applyBorder="1" applyAlignment="1">
      <alignment horizontal="center"/>
    </xf>
    <xf numFmtId="0" fontId="0" fillId="0" borderId="1" xfId="0" applyBorder="1" applyAlignment="1">
      <alignment horizontal="right"/>
    </xf>
    <xf numFmtId="0" fontId="0" fillId="0" borderId="18" xfId="0" applyBorder="1"/>
    <xf numFmtId="0" fontId="0" fillId="0" borderId="2" xfId="0" applyBorder="1"/>
    <xf numFmtId="0" fontId="0" fillId="0" borderId="20" xfId="0" applyBorder="1"/>
    <xf numFmtId="0" fontId="0" fillId="0" borderId="24" xfId="0" applyBorder="1"/>
    <xf numFmtId="0" fontId="0" fillId="0" borderId="25" xfId="0" applyBorder="1" applyAlignment="1">
      <alignment horizontal="right"/>
    </xf>
    <xf numFmtId="0" fontId="0" fillId="0" borderId="0" xfId="0" applyBorder="1" applyAlignment="1">
      <alignment horizontal="right"/>
    </xf>
    <xf numFmtId="3" fontId="0" fillId="0" borderId="0" xfId="0" applyNumberFormat="1" applyBorder="1" applyAlignment="1">
      <alignment horizontal="right"/>
    </xf>
    <xf numFmtId="0" fontId="0" fillId="0" borderId="21" xfId="0" applyBorder="1" applyAlignment="1">
      <alignment horizontal="right"/>
    </xf>
    <xf numFmtId="20" fontId="0" fillId="0" borderId="0" xfId="0" applyNumberFormat="1" applyBorder="1" applyAlignment="1">
      <alignment horizontal="right"/>
    </xf>
    <xf numFmtId="16" fontId="0" fillId="0" borderId="20" xfId="0" applyNumberFormat="1" applyBorder="1"/>
    <xf numFmtId="0" fontId="0" fillId="0" borderId="22" xfId="0" applyBorder="1"/>
    <xf numFmtId="0" fontId="0" fillId="0" borderId="3" xfId="0" applyBorder="1" applyAlignment="1">
      <alignment horizontal="right"/>
    </xf>
    <xf numFmtId="3" fontId="0" fillId="0" borderId="3" xfId="0" applyNumberFormat="1" applyBorder="1" applyAlignment="1">
      <alignment horizontal="right"/>
    </xf>
    <xf numFmtId="0" fontId="0" fillId="0" borderId="23" xfId="0" applyBorder="1" applyAlignment="1">
      <alignment horizontal="right"/>
    </xf>
    <xf numFmtId="0" fontId="12" fillId="0" borderId="0" xfId="0" applyFont="1" applyAlignment="1">
      <alignment vertical="center"/>
    </xf>
    <xf numFmtId="0" fontId="0" fillId="0" borderId="27" xfId="0" applyBorder="1" applyAlignment="1">
      <alignment horizontal="center"/>
    </xf>
    <xf numFmtId="0" fontId="0" fillId="0" borderId="26" xfId="0" applyBorder="1" applyAlignment="1">
      <alignment horizontal="center"/>
    </xf>
    <xf numFmtId="0" fontId="12" fillId="0" borderId="0" xfId="0" applyFont="1" applyAlignment="1">
      <alignment horizontal="left" vertical="center" wrapText="1"/>
    </xf>
    <xf numFmtId="49" fontId="1" fillId="0" borderId="12" xfId="0" applyNumberFormat="1" applyFont="1" applyBorder="1" applyAlignment="1">
      <alignment horizontal="center" wrapText="1"/>
    </xf>
    <xf numFmtId="49" fontId="1" fillId="0" borderId="13" xfId="0" applyNumberFormat="1" applyFont="1" applyBorder="1" applyAlignment="1">
      <alignment horizontal="center" wrapText="1"/>
    </xf>
    <xf numFmtId="49" fontId="1" fillId="0" borderId="14" xfId="0" applyNumberFormat="1" applyFont="1" applyBorder="1" applyAlignment="1">
      <alignment horizontal="center" wrapText="1"/>
    </xf>
    <xf numFmtId="0" fontId="1" fillId="0" borderId="12" xfId="0" applyFont="1" applyBorder="1" applyAlignment="1">
      <alignment horizontal="center" wrapText="1"/>
    </xf>
    <xf numFmtId="0" fontId="1" fillId="0" borderId="13" xfId="0" applyFont="1" applyBorder="1" applyAlignment="1">
      <alignment horizontal="center" wrapText="1"/>
    </xf>
    <xf numFmtId="0" fontId="1" fillId="0" borderId="12" xfId="0" quotePrefix="1" applyFont="1" applyBorder="1" applyAlignment="1">
      <alignment horizontal="center" wrapText="1"/>
    </xf>
    <xf numFmtId="0" fontId="1" fillId="0" borderId="13" xfId="0" quotePrefix="1" applyFont="1" applyBorder="1" applyAlignment="1">
      <alignment horizontal="center" wrapText="1"/>
    </xf>
    <xf numFmtId="0" fontId="3" fillId="4" borderId="5" xfId="0" applyFont="1" applyFill="1" applyBorder="1" applyAlignment="1">
      <alignment horizontal="center" wrapText="1"/>
    </xf>
    <xf numFmtId="0" fontId="3" fillId="4" borderId="6" xfId="0" applyFont="1" applyFill="1" applyBorder="1" applyAlignment="1">
      <alignment horizontal="center" wrapText="1"/>
    </xf>
    <xf numFmtId="0" fontId="3" fillId="4" borderId="7" xfId="0" applyFont="1" applyFill="1" applyBorder="1" applyAlignment="1">
      <alignment horizontal="center" wrapText="1"/>
    </xf>
    <xf numFmtId="0" fontId="3" fillId="4" borderId="0" xfId="0" applyFont="1" applyFill="1" applyAlignment="1">
      <alignment horizontal="center"/>
    </xf>
    <xf numFmtId="0" fontId="3" fillId="4" borderId="0" xfId="0" applyFont="1" applyFill="1" applyAlignment="1">
      <alignment horizontal="center" vertical="center" wrapText="1"/>
    </xf>
    <xf numFmtId="0" fontId="3" fillId="4" borderId="5" xfId="0" applyFont="1" applyFill="1" applyBorder="1" applyAlignment="1">
      <alignment horizontal="center"/>
    </xf>
    <xf numFmtId="0" fontId="3" fillId="4" borderId="7" xfId="0" applyFont="1" applyFill="1" applyBorder="1" applyAlignment="1">
      <alignment horizontal="center"/>
    </xf>
    <xf numFmtId="0" fontId="3" fillId="4" borderId="5"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18" xfId="0" applyFont="1" applyFill="1" applyBorder="1" applyAlignment="1">
      <alignment horizontal="left" wrapText="1"/>
    </xf>
    <xf numFmtId="0" fontId="3" fillId="4" borderId="2" xfId="0" applyFont="1" applyFill="1" applyBorder="1" applyAlignment="1">
      <alignment horizontal="left" wrapText="1"/>
    </xf>
    <xf numFmtId="0" fontId="3" fillId="4" borderId="19" xfId="0" applyFont="1" applyFill="1" applyBorder="1" applyAlignment="1">
      <alignment horizontal="left" wrapText="1"/>
    </xf>
    <xf numFmtId="0" fontId="8" fillId="4" borderId="0" xfId="0" applyFont="1" applyFill="1" applyAlignment="1">
      <alignment horizontal="center" vertical="center"/>
    </xf>
    <xf numFmtId="0" fontId="8" fillId="5" borderId="0" xfId="0" applyFont="1" applyFill="1" applyAlignment="1">
      <alignment horizontal="center" vertical="center" textRotation="90" wrapText="1"/>
    </xf>
  </cellXfs>
  <cellStyles count="2">
    <cellStyle name="Normal" xfId="0" builtinId="0"/>
    <cellStyle name="Percent" xfId="1" builtinId="5"/>
  </cellStyles>
  <dxfs count="54">
    <dxf>
      <fill>
        <patternFill>
          <bgColor theme="7" tint="0.39994506668294322"/>
        </patternFill>
      </fill>
    </dxf>
    <dxf>
      <fill>
        <patternFill>
          <bgColor theme="4" tint="0.39994506668294322"/>
        </patternFill>
      </fill>
    </dxf>
    <dxf>
      <fill>
        <patternFill>
          <bgColor theme="7" tint="0.39994506668294322"/>
        </patternFill>
      </fill>
    </dxf>
    <dxf>
      <fill>
        <patternFill>
          <bgColor theme="4" tint="0.39994506668294322"/>
        </patternFill>
      </fill>
    </dxf>
    <dxf>
      <fill>
        <patternFill>
          <bgColor theme="5" tint="0.59996337778862885"/>
        </patternFill>
      </fill>
    </dxf>
    <dxf>
      <fill>
        <patternFill>
          <bgColor theme="4" tint="0.59996337778862885"/>
        </patternFill>
      </fill>
    </dxf>
    <dxf>
      <fill>
        <patternFill>
          <bgColor theme="7" tint="0.39994506668294322"/>
        </patternFill>
      </fill>
    </dxf>
    <dxf>
      <fill>
        <patternFill>
          <bgColor theme="4" tint="0.39994506668294322"/>
        </patternFill>
      </fill>
    </dxf>
    <dxf>
      <fill>
        <patternFill>
          <bgColor theme="5" tint="0.59996337778862885"/>
        </patternFill>
      </fill>
    </dxf>
    <dxf>
      <fill>
        <patternFill>
          <bgColor theme="4" tint="0.59996337778862885"/>
        </patternFill>
      </fill>
    </dxf>
    <dxf>
      <fill>
        <patternFill>
          <bgColor theme="7" tint="0.39994506668294322"/>
        </patternFill>
      </fill>
    </dxf>
    <dxf>
      <fill>
        <patternFill>
          <bgColor theme="4" tint="0.39994506668294322"/>
        </patternFill>
      </fill>
    </dxf>
    <dxf>
      <fill>
        <patternFill>
          <bgColor theme="5" tint="0.59996337778862885"/>
        </patternFill>
      </fill>
    </dxf>
    <dxf>
      <fill>
        <patternFill>
          <bgColor theme="4" tint="0.59996337778862885"/>
        </patternFill>
      </fill>
    </dxf>
    <dxf>
      <fill>
        <patternFill>
          <bgColor theme="7" tint="0.39994506668294322"/>
        </patternFill>
      </fill>
    </dxf>
    <dxf>
      <fill>
        <patternFill>
          <bgColor theme="4" tint="0.39994506668294322"/>
        </patternFill>
      </fill>
    </dxf>
    <dxf>
      <fill>
        <patternFill>
          <bgColor theme="7" tint="0.39994506668294322"/>
        </patternFill>
      </fill>
    </dxf>
    <dxf>
      <fill>
        <patternFill>
          <bgColor theme="4" tint="0.39994506668294322"/>
        </patternFill>
      </fill>
    </dxf>
    <dxf>
      <fill>
        <patternFill>
          <bgColor theme="7" tint="0.39994506668294322"/>
        </patternFill>
      </fill>
    </dxf>
    <dxf>
      <fill>
        <patternFill>
          <bgColor theme="4" tint="0.39994506668294322"/>
        </patternFill>
      </fill>
    </dxf>
    <dxf>
      <fill>
        <patternFill>
          <bgColor theme="7" tint="0.39994506668294322"/>
        </patternFill>
      </fill>
    </dxf>
    <dxf>
      <fill>
        <patternFill>
          <bgColor theme="4" tint="0.39994506668294322"/>
        </patternFill>
      </fill>
    </dxf>
    <dxf>
      <fill>
        <patternFill>
          <bgColor theme="5" tint="0.59996337778862885"/>
        </patternFill>
      </fill>
    </dxf>
    <dxf>
      <fill>
        <patternFill>
          <bgColor theme="4" tint="0.59996337778862885"/>
        </patternFill>
      </fill>
    </dxf>
    <dxf>
      <fill>
        <patternFill>
          <bgColor theme="7" tint="0.39994506668294322"/>
        </patternFill>
      </fill>
    </dxf>
    <dxf>
      <fill>
        <patternFill>
          <bgColor theme="4" tint="0.39994506668294322"/>
        </patternFill>
      </fill>
    </dxf>
    <dxf>
      <fill>
        <patternFill>
          <bgColor theme="5" tint="0.59996337778862885"/>
        </patternFill>
      </fill>
    </dxf>
    <dxf>
      <fill>
        <patternFill>
          <bgColor theme="4" tint="0.59996337778862885"/>
        </patternFill>
      </fill>
    </dxf>
    <dxf>
      <fill>
        <patternFill>
          <bgColor theme="7" tint="0.39994506668294322"/>
        </patternFill>
      </fill>
    </dxf>
    <dxf>
      <fill>
        <patternFill>
          <bgColor theme="4" tint="0.39994506668294322"/>
        </patternFill>
      </fill>
    </dxf>
    <dxf>
      <fill>
        <patternFill>
          <bgColor theme="5" tint="0.59996337778862885"/>
        </patternFill>
      </fill>
    </dxf>
    <dxf>
      <fill>
        <patternFill>
          <bgColor theme="4" tint="0.59996337778862885"/>
        </patternFill>
      </fill>
    </dxf>
    <dxf>
      <fill>
        <patternFill>
          <bgColor theme="7" tint="0.39994506668294322"/>
        </patternFill>
      </fill>
    </dxf>
    <dxf>
      <fill>
        <patternFill>
          <bgColor theme="4" tint="0.39994506668294322"/>
        </patternFill>
      </fill>
    </dxf>
    <dxf>
      <fill>
        <patternFill>
          <bgColor theme="7" tint="0.39994506668294322"/>
        </patternFill>
      </fill>
    </dxf>
    <dxf>
      <fill>
        <patternFill>
          <bgColor theme="4" tint="0.39994506668294322"/>
        </patternFill>
      </fill>
    </dxf>
    <dxf>
      <fill>
        <patternFill>
          <bgColor theme="7" tint="0.39994506668294322"/>
        </patternFill>
      </fill>
    </dxf>
    <dxf>
      <fill>
        <patternFill>
          <bgColor theme="4" tint="0.39994506668294322"/>
        </patternFill>
      </fill>
    </dxf>
    <dxf>
      <fill>
        <patternFill>
          <bgColor theme="7" tint="0.39994506668294322"/>
        </patternFill>
      </fill>
    </dxf>
    <dxf>
      <fill>
        <patternFill>
          <bgColor theme="4" tint="0.39994506668294322"/>
        </patternFill>
      </fill>
    </dxf>
    <dxf>
      <fill>
        <patternFill>
          <bgColor theme="7" tint="0.39994506668294322"/>
        </patternFill>
      </fill>
    </dxf>
    <dxf>
      <fill>
        <patternFill>
          <bgColor theme="4" tint="0.39994506668294322"/>
        </patternFill>
      </fill>
    </dxf>
    <dxf>
      <fill>
        <patternFill>
          <bgColor theme="7" tint="0.39994506668294322"/>
        </patternFill>
      </fill>
    </dxf>
    <dxf>
      <fill>
        <patternFill>
          <bgColor theme="4" tint="0.39994506668294322"/>
        </patternFill>
      </fill>
    </dxf>
    <dxf>
      <fill>
        <patternFill>
          <bgColor theme="7" tint="0.39994506668294322"/>
        </patternFill>
      </fill>
    </dxf>
    <dxf>
      <fill>
        <patternFill>
          <bgColor theme="4" tint="0.39994506668294322"/>
        </patternFill>
      </fill>
    </dxf>
    <dxf>
      <fill>
        <patternFill>
          <bgColor theme="7" tint="0.39994506668294322"/>
        </patternFill>
      </fill>
    </dxf>
    <dxf>
      <fill>
        <patternFill>
          <bgColor theme="4" tint="0.39994506668294322"/>
        </patternFill>
      </fill>
    </dxf>
    <dxf>
      <fill>
        <patternFill>
          <bgColor theme="7" tint="0.39994506668294322"/>
        </patternFill>
      </fill>
    </dxf>
    <dxf>
      <fill>
        <patternFill>
          <bgColor theme="4" tint="0.39994506668294322"/>
        </patternFill>
      </fill>
    </dxf>
    <dxf>
      <fill>
        <patternFill>
          <bgColor theme="7" tint="0.39994506668294322"/>
        </patternFill>
      </fill>
    </dxf>
    <dxf>
      <fill>
        <patternFill>
          <bgColor theme="4" tint="0.39994506668294322"/>
        </patternFill>
      </fill>
    </dxf>
    <dxf>
      <fill>
        <patternFill>
          <bgColor theme="7" tint="0.39994506668294322"/>
        </patternFill>
      </fill>
    </dxf>
    <dxf>
      <fill>
        <patternFill>
          <bgColor theme="4"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'Alt1'!$G$14</c:f>
              <c:strCache>
                <c:ptCount val="1"/>
                <c:pt idx="0">
                  <c:v>Trawl
PSC Limit</c:v>
                </c:pt>
              </c:strCache>
            </c:strRef>
          </c:tx>
          <c:spPr>
            <a:ln w="28575" cap="rnd">
              <a:solidFill>
                <a:schemeClr val="accent1"/>
              </a:solidFill>
              <a:round/>
            </a:ln>
            <a:effectLst/>
          </c:spPr>
          <c:marker>
            <c:symbol val="none"/>
          </c:marker>
          <c:cat>
            <c:numRef>
              <c:f>'Alt1'!$A$15:$A$35</c:f>
              <c:numCache>
                <c:formatCode>General</c:formatCode>
                <c:ptCount val="21"/>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numCache>
            </c:numRef>
          </c:cat>
          <c:val>
            <c:numRef>
              <c:f>'Alt1'!$G$15:$G$35</c:f>
              <c:numCache>
                <c:formatCode>#,##0</c:formatCode>
                <c:ptCount val="21"/>
                <c:pt idx="0">
                  <c:v>2805</c:v>
                </c:pt>
                <c:pt idx="1">
                  <c:v>2805</c:v>
                </c:pt>
                <c:pt idx="2">
                  <c:v>2805</c:v>
                </c:pt>
                <c:pt idx="3">
                  <c:v>2805</c:v>
                </c:pt>
                <c:pt idx="4">
                  <c:v>2805</c:v>
                </c:pt>
                <c:pt idx="5">
                  <c:v>2805</c:v>
                </c:pt>
                <c:pt idx="6">
                  <c:v>2805</c:v>
                </c:pt>
                <c:pt idx="7">
                  <c:v>2805</c:v>
                </c:pt>
                <c:pt idx="8">
                  <c:v>2805</c:v>
                </c:pt>
                <c:pt idx="9">
                  <c:v>2805</c:v>
                </c:pt>
                <c:pt idx="10">
                  <c:v>2805</c:v>
                </c:pt>
                <c:pt idx="11">
                  <c:v>2805</c:v>
                </c:pt>
                <c:pt idx="12">
                  <c:v>2805</c:v>
                </c:pt>
                <c:pt idx="13">
                  <c:v>2805</c:v>
                </c:pt>
                <c:pt idx="14">
                  <c:v>2805</c:v>
                </c:pt>
                <c:pt idx="15">
                  <c:v>2805</c:v>
                </c:pt>
                <c:pt idx="16">
                  <c:v>2805</c:v>
                </c:pt>
                <c:pt idx="17">
                  <c:v>2805</c:v>
                </c:pt>
                <c:pt idx="18">
                  <c:v>2805</c:v>
                </c:pt>
                <c:pt idx="19">
                  <c:v>2805</c:v>
                </c:pt>
                <c:pt idx="20">
                  <c:v>2805</c:v>
                </c:pt>
              </c:numCache>
            </c:numRef>
          </c:val>
          <c:smooth val="0"/>
          <c:extLst>
            <c:ext xmlns:c16="http://schemas.microsoft.com/office/drawing/2014/chart" uri="{C3380CC4-5D6E-409C-BE32-E72D297353CC}">
              <c16:uniqueId val="{00000000-B655-4779-AF66-50E492867BC7}"/>
            </c:ext>
          </c:extLst>
        </c:ser>
        <c:ser>
          <c:idx val="1"/>
          <c:order val="1"/>
          <c:tx>
            <c:strRef>
              <c:f>'Alt1'!$H$14</c:f>
              <c:strCache>
                <c:ptCount val="1"/>
                <c:pt idx="0">
                  <c:v>Non-trawl
PSC Limit</c:v>
                </c:pt>
              </c:strCache>
            </c:strRef>
          </c:tx>
          <c:spPr>
            <a:ln w="28575" cap="rnd">
              <a:solidFill>
                <a:schemeClr val="accent2"/>
              </a:solidFill>
              <a:round/>
            </a:ln>
            <a:effectLst/>
          </c:spPr>
          <c:marker>
            <c:symbol val="none"/>
          </c:marker>
          <c:cat>
            <c:numRef>
              <c:f>'Alt1'!$A$15:$A$35</c:f>
              <c:numCache>
                <c:formatCode>General</c:formatCode>
                <c:ptCount val="21"/>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numCache>
            </c:numRef>
          </c:cat>
          <c:val>
            <c:numRef>
              <c:f>'Alt1'!$H$15:$H$35</c:f>
              <c:numCache>
                <c:formatCode>#,##0</c:formatCode>
                <c:ptCount val="21"/>
                <c:pt idx="0">
                  <c:v>710</c:v>
                </c:pt>
                <c:pt idx="1">
                  <c:v>710</c:v>
                </c:pt>
                <c:pt idx="2">
                  <c:v>710</c:v>
                </c:pt>
                <c:pt idx="3">
                  <c:v>710</c:v>
                </c:pt>
                <c:pt idx="4">
                  <c:v>710</c:v>
                </c:pt>
                <c:pt idx="5">
                  <c:v>710</c:v>
                </c:pt>
                <c:pt idx="6">
                  <c:v>710</c:v>
                </c:pt>
                <c:pt idx="7">
                  <c:v>710</c:v>
                </c:pt>
                <c:pt idx="8">
                  <c:v>710</c:v>
                </c:pt>
                <c:pt idx="9">
                  <c:v>710</c:v>
                </c:pt>
                <c:pt idx="10">
                  <c:v>710</c:v>
                </c:pt>
                <c:pt idx="11">
                  <c:v>710</c:v>
                </c:pt>
                <c:pt idx="12">
                  <c:v>710</c:v>
                </c:pt>
                <c:pt idx="13">
                  <c:v>710</c:v>
                </c:pt>
                <c:pt idx="14">
                  <c:v>710</c:v>
                </c:pt>
                <c:pt idx="15">
                  <c:v>710</c:v>
                </c:pt>
                <c:pt idx="16">
                  <c:v>710</c:v>
                </c:pt>
                <c:pt idx="17">
                  <c:v>710</c:v>
                </c:pt>
                <c:pt idx="18">
                  <c:v>710</c:v>
                </c:pt>
                <c:pt idx="19">
                  <c:v>710</c:v>
                </c:pt>
                <c:pt idx="20">
                  <c:v>710</c:v>
                </c:pt>
              </c:numCache>
            </c:numRef>
          </c:val>
          <c:smooth val="0"/>
          <c:extLst>
            <c:ext xmlns:c16="http://schemas.microsoft.com/office/drawing/2014/chart" uri="{C3380CC4-5D6E-409C-BE32-E72D297353CC}">
              <c16:uniqueId val="{00000001-B655-4779-AF66-50E492867BC7}"/>
            </c:ext>
          </c:extLst>
        </c:ser>
        <c:dLbls>
          <c:showLegendKey val="0"/>
          <c:showVal val="0"/>
          <c:showCatName val="0"/>
          <c:showSerName val="0"/>
          <c:showPercent val="0"/>
          <c:showBubbleSize val="0"/>
        </c:dLbls>
        <c:smooth val="0"/>
        <c:axId val="599350616"/>
        <c:axId val="599350944"/>
      </c:lineChart>
      <c:catAx>
        <c:axId val="599350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9350944"/>
        <c:crosses val="autoZero"/>
        <c:auto val="1"/>
        <c:lblAlgn val="ctr"/>
        <c:lblOffset val="100"/>
        <c:noMultiLvlLbl val="0"/>
      </c:catAx>
      <c:valAx>
        <c:axId val="5993509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93506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Trawl PSC Limit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'Alt3-1'!$I$31</c:f>
              <c:strCache>
                <c:ptCount val="1"/>
                <c:pt idx="0">
                  <c:v>PSC Limit with Element 6</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'Alt3-1'!$A$32:$A$51</c:f>
              <c:numCache>
                <c:formatCode>General</c:formatCode>
                <c:ptCount val="20"/>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numCache>
            </c:numRef>
          </c:xVal>
          <c:yVal>
            <c:numRef>
              <c:f>'Alt3-1'!$I$32:$I$51</c:f>
              <c:numCache>
                <c:formatCode>#,##0</c:formatCode>
                <c:ptCount val="20"/>
                <c:pt idx="0">
                  <c:v>3532</c:v>
                </c:pt>
                <c:pt idx="1">
                  <c:v>3532</c:v>
                </c:pt>
                <c:pt idx="2">
                  <c:v>3532</c:v>
                </c:pt>
                <c:pt idx="3">
                  <c:v>3532</c:v>
                </c:pt>
                <c:pt idx="4">
                  <c:v>3517.7638846642517</c:v>
                </c:pt>
                <c:pt idx="5">
                  <c:v>3532</c:v>
                </c:pt>
                <c:pt idx="6">
                  <c:v>3319.2469567954399</c:v>
                </c:pt>
                <c:pt idx="7">
                  <c:v>3202.1071916969086</c:v>
                </c:pt>
                <c:pt idx="8">
                  <c:v>3532</c:v>
                </c:pt>
                <c:pt idx="9">
                  <c:v>3504.4744938806525</c:v>
                </c:pt>
                <c:pt idx="10">
                  <c:v>3532</c:v>
                </c:pt>
                <c:pt idx="11">
                  <c:v>3532</c:v>
                </c:pt>
                <c:pt idx="12">
                  <c:v>3532</c:v>
                </c:pt>
                <c:pt idx="13">
                  <c:v>3532</c:v>
                </c:pt>
                <c:pt idx="14">
                  <c:v>3532</c:v>
                </c:pt>
                <c:pt idx="15">
                  <c:v>3532</c:v>
                </c:pt>
                <c:pt idx="16">
                  <c:v>3532</c:v>
                </c:pt>
                <c:pt idx="17">
                  <c:v>3532</c:v>
                </c:pt>
                <c:pt idx="18">
                  <c:v>3429.855690442475</c:v>
                </c:pt>
                <c:pt idx="19">
                  <c:v>2915.3773368761035</c:v>
                </c:pt>
              </c:numCache>
            </c:numRef>
          </c:yVal>
          <c:smooth val="0"/>
          <c:extLst>
            <c:ext xmlns:c16="http://schemas.microsoft.com/office/drawing/2014/chart" uri="{C3380CC4-5D6E-409C-BE32-E72D297353CC}">
              <c16:uniqueId val="{00000000-1B69-4F59-A826-2A31CCBBD5FF}"/>
            </c:ext>
          </c:extLst>
        </c:ser>
        <c:ser>
          <c:idx val="1"/>
          <c:order val="1"/>
          <c:tx>
            <c:strRef>
              <c:f>'Alt3-1'!$O$31</c:f>
              <c:strCache>
                <c:ptCount val="1"/>
                <c:pt idx="0">
                  <c:v>Floor</c:v>
                </c:pt>
              </c:strCache>
            </c:strRef>
          </c:tx>
          <c:spPr>
            <a:ln w="19050" cap="rnd">
              <a:solidFill>
                <a:schemeClr val="bg1">
                  <a:lumMod val="65000"/>
                </a:schemeClr>
              </a:solidFill>
              <a:prstDash val="sysDot"/>
              <a:round/>
            </a:ln>
            <a:effectLst/>
          </c:spPr>
          <c:marker>
            <c:symbol val="none"/>
          </c:marker>
          <c:xVal>
            <c:numRef>
              <c:f>'Alt3-1'!$A$32:$A$51</c:f>
              <c:numCache>
                <c:formatCode>General</c:formatCode>
                <c:ptCount val="20"/>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numCache>
            </c:numRef>
          </c:xVal>
          <c:yVal>
            <c:numRef>
              <c:f>'Alt3-1'!$O$32:$O$51</c:f>
              <c:numCache>
                <c:formatCode>General</c:formatCode>
                <c:ptCount val="20"/>
                <c:pt idx="0">
                  <c:v>1403</c:v>
                </c:pt>
                <c:pt idx="1">
                  <c:v>1403</c:v>
                </c:pt>
                <c:pt idx="2">
                  <c:v>1403</c:v>
                </c:pt>
                <c:pt idx="3">
                  <c:v>1403</c:v>
                </c:pt>
                <c:pt idx="4">
                  <c:v>1403</c:v>
                </c:pt>
                <c:pt idx="5">
                  <c:v>1403</c:v>
                </c:pt>
                <c:pt idx="6">
                  <c:v>1403</c:v>
                </c:pt>
                <c:pt idx="7">
                  <c:v>1403</c:v>
                </c:pt>
                <c:pt idx="8">
                  <c:v>1403</c:v>
                </c:pt>
                <c:pt idx="9">
                  <c:v>1403</c:v>
                </c:pt>
                <c:pt idx="10">
                  <c:v>1403</c:v>
                </c:pt>
                <c:pt idx="11">
                  <c:v>1403</c:v>
                </c:pt>
                <c:pt idx="12">
                  <c:v>1403</c:v>
                </c:pt>
                <c:pt idx="13">
                  <c:v>1403</c:v>
                </c:pt>
                <c:pt idx="14">
                  <c:v>1403</c:v>
                </c:pt>
                <c:pt idx="15">
                  <c:v>1403</c:v>
                </c:pt>
                <c:pt idx="16">
                  <c:v>1403</c:v>
                </c:pt>
                <c:pt idx="17">
                  <c:v>1403</c:v>
                </c:pt>
                <c:pt idx="18">
                  <c:v>1403</c:v>
                </c:pt>
                <c:pt idx="19">
                  <c:v>1403</c:v>
                </c:pt>
              </c:numCache>
            </c:numRef>
          </c:yVal>
          <c:smooth val="0"/>
          <c:extLst>
            <c:ext xmlns:c16="http://schemas.microsoft.com/office/drawing/2014/chart" uri="{C3380CC4-5D6E-409C-BE32-E72D297353CC}">
              <c16:uniqueId val="{00000001-1B69-4F59-A826-2A31CCBBD5FF}"/>
            </c:ext>
          </c:extLst>
        </c:ser>
        <c:ser>
          <c:idx val="2"/>
          <c:order val="2"/>
          <c:tx>
            <c:strRef>
              <c:f>'Alt3-1'!$P$31</c:f>
              <c:strCache>
                <c:ptCount val="1"/>
                <c:pt idx="0">
                  <c:v>Ceiling</c:v>
                </c:pt>
              </c:strCache>
            </c:strRef>
          </c:tx>
          <c:spPr>
            <a:ln w="19050" cap="rnd">
              <a:solidFill>
                <a:schemeClr val="bg1">
                  <a:lumMod val="65000"/>
                </a:schemeClr>
              </a:solidFill>
              <a:prstDash val="sysDot"/>
              <a:round/>
            </a:ln>
            <a:effectLst/>
          </c:spPr>
          <c:marker>
            <c:symbol val="none"/>
          </c:marker>
          <c:xVal>
            <c:numRef>
              <c:f>'Alt3-1'!$A$32:$A$51</c:f>
              <c:numCache>
                <c:formatCode>General</c:formatCode>
                <c:ptCount val="20"/>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numCache>
            </c:numRef>
          </c:xVal>
          <c:yVal>
            <c:numRef>
              <c:f>'Alt3-1'!$P$32:$P$51</c:f>
              <c:numCache>
                <c:formatCode>General</c:formatCode>
                <c:ptCount val="20"/>
                <c:pt idx="0">
                  <c:v>3532</c:v>
                </c:pt>
                <c:pt idx="1">
                  <c:v>3532</c:v>
                </c:pt>
                <c:pt idx="2">
                  <c:v>3532</c:v>
                </c:pt>
                <c:pt idx="3">
                  <c:v>3532</c:v>
                </c:pt>
                <c:pt idx="4">
                  <c:v>3532</c:v>
                </c:pt>
                <c:pt idx="5">
                  <c:v>3532</c:v>
                </c:pt>
                <c:pt idx="6">
                  <c:v>3532</c:v>
                </c:pt>
                <c:pt idx="7">
                  <c:v>3532</c:v>
                </c:pt>
                <c:pt idx="8">
                  <c:v>3532</c:v>
                </c:pt>
                <c:pt idx="9">
                  <c:v>3532</c:v>
                </c:pt>
                <c:pt idx="10">
                  <c:v>3532</c:v>
                </c:pt>
                <c:pt idx="11">
                  <c:v>3532</c:v>
                </c:pt>
                <c:pt idx="12">
                  <c:v>3532</c:v>
                </c:pt>
                <c:pt idx="13">
                  <c:v>3532</c:v>
                </c:pt>
                <c:pt idx="14">
                  <c:v>3532</c:v>
                </c:pt>
                <c:pt idx="15">
                  <c:v>3532</c:v>
                </c:pt>
                <c:pt idx="16">
                  <c:v>3532</c:v>
                </c:pt>
                <c:pt idx="17">
                  <c:v>3532</c:v>
                </c:pt>
                <c:pt idx="18">
                  <c:v>3532</c:v>
                </c:pt>
                <c:pt idx="19">
                  <c:v>3532</c:v>
                </c:pt>
              </c:numCache>
            </c:numRef>
          </c:yVal>
          <c:smooth val="0"/>
          <c:extLst>
            <c:ext xmlns:c16="http://schemas.microsoft.com/office/drawing/2014/chart" uri="{C3380CC4-5D6E-409C-BE32-E72D297353CC}">
              <c16:uniqueId val="{00000002-1B69-4F59-A826-2A31CCBBD5FF}"/>
            </c:ext>
          </c:extLst>
        </c:ser>
        <c:dLbls>
          <c:showLegendKey val="0"/>
          <c:showVal val="0"/>
          <c:showCatName val="0"/>
          <c:showSerName val="0"/>
          <c:showPercent val="0"/>
          <c:showBubbleSize val="0"/>
        </c:dLbls>
        <c:axId val="690844680"/>
        <c:axId val="690845008"/>
      </c:scatterChart>
      <c:valAx>
        <c:axId val="6908446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0845008"/>
        <c:crosses val="autoZero"/>
        <c:crossBetween val="midCat"/>
      </c:valAx>
      <c:valAx>
        <c:axId val="6908450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084468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Non-Trawl PSC</a:t>
            </a:r>
            <a:r>
              <a:rPr lang="en-US" baseline="0"/>
              <a:t> Limit</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'Alt3-1'!$I$31</c:f>
              <c:strCache>
                <c:ptCount val="1"/>
                <c:pt idx="0">
                  <c:v>PSC Limit with Element 6</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'Alt3-1'!$A$58:$A$78</c:f>
              <c:numCache>
                <c:formatCode>General</c:formatCode>
                <c:ptCount val="21"/>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numCache>
            </c:numRef>
          </c:xVal>
          <c:yVal>
            <c:numRef>
              <c:f>'Alt3-1'!$I$58:$I$78</c:f>
              <c:numCache>
                <c:formatCode>#,##0</c:formatCode>
                <c:ptCount val="21"/>
                <c:pt idx="0">
                  <c:v>894</c:v>
                </c:pt>
                <c:pt idx="1">
                  <c:v>894</c:v>
                </c:pt>
                <c:pt idx="2">
                  <c:v>894</c:v>
                </c:pt>
                <c:pt idx="3">
                  <c:v>894</c:v>
                </c:pt>
                <c:pt idx="4">
                  <c:v>894</c:v>
                </c:pt>
                <c:pt idx="5">
                  <c:v>894</c:v>
                </c:pt>
                <c:pt idx="6">
                  <c:v>894</c:v>
                </c:pt>
                <c:pt idx="7">
                  <c:v>894</c:v>
                </c:pt>
                <c:pt idx="8">
                  <c:v>894</c:v>
                </c:pt>
                <c:pt idx="9">
                  <c:v>894</c:v>
                </c:pt>
                <c:pt idx="10">
                  <c:v>894</c:v>
                </c:pt>
                <c:pt idx="11">
                  <c:v>894</c:v>
                </c:pt>
                <c:pt idx="12">
                  <c:v>894</c:v>
                </c:pt>
                <c:pt idx="13">
                  <c:v>894</c:v>
                </c:pt>
                <c:pt idx="14">
                  <c:v>894</c:v>
                </c:pt>
                <c:pt idx="15">
                  <c:v>894</c:v>
                </c:pt>
                <c:pt idx="16">
                  <c:v>875.67724584653331</c:v>
                </c:pt>
                <c:pt idx="17">
                  <c:v>893.67484189745437</c:v>
                </c:pt>
                <c:pt idx="18">
                  <c:v>778.10670774401342</c:v>
                </c:pt>
                <c:pt idx="19">
                  <c:v>720.83741772860947</c:v>
                </c:pt>
                <c:pt idx="20">
                  <c:v>710</c:v>
                </c:pt>
              </c:numCache>
            </c:numRef>
          </c:yVal>
          <c:smooth val="0"/>
          <c:extLst>
            <c:ext xmlns:c16="http://schemas.microsoft.com/office/drawing/2014/chart" uri="{C3380CC4-5D6E-409C-BE32-E72D297353CC}">
              <c16:uniqueId val="{00000000-F331-4689-9C4D-6EA0936C73B5}"/>
            </c:ext>
          </c:extLst>
        </c:ser>
        <c:ser>
          <c:idx val="1"/>
          <c:order val="1"/>
          <c:tx>
            <c:strRef>
              <c:f>'Alt3-1'!$O$31</c:f>
              <c:strCache>
                <c:ptCount val="1"/>
                <c:pt idx="0">
                  <c:v>Floor</c:v>
                </c:pt>
              </c:strCache>
            </c:strRef>
          </c:tx>
          <c:spPr>
            <a:ln w="19050" cap="rnd">
              <a:solidFill>
                <a:schemeClr val="bg1">
                  <a:lumMod val="65000"/>
                </a:schemeClr>
              </a:solidFill>
              <a:prstDash val="sysDot"/>
              <a:round/>
            </a:ln>
            <a:effectLst/>
          </c:spPr>
          <c:marker>
            <c:symbol val="none"/>
          </c:marker>
          <c:xVal>
            <c:numRef>
              <c:f>'Alt3-1'!$A$32:$A$51</c:f>
              <c:numCache>
                <c:formatCode>General</c:formatCode>
                <c:ptCount val="20"/>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numCache>
            </c:numRef>
          </c:xVal>
          <c:yVal>
            <c:numRef>
              <c:f>'Alt3-1'!$O$32:$O$51</c:f>
              <c:numCache>
                <c:formatCode>General</c:formatCode>
                <c:ptCount val="20"/>
                <c:pt idx="0">
                  <c:v>1403</c:v>
                </c:pt>
                <c:pt idx="1">
                  <c:v>1403</c:v>
                </c:pt>
                <c:pt idx="2">
                  <c:v>1403</c:v>
                </c:pt>
                <c:pt idx="3">
                  <c:v>1403</c:v>
                </c:pt>
                <c:pt idx="4">
                  <c:v>1403</c:v>
                </c:pt>
                <c:pt idx="5">
                  <c:v>1403</c:v>
                </c:pt>
                <c:pt idx="6">
                  <c:v>1403</c:v>
                </c:pt>
                <c:pt idx="7">
                  <c:v>1403</c:v>
                </c:pt>
                <c:pt idx="8">
                  <c:v>1403</c:v>
                </c:pt>
                <c:pt idx="9">
                  <c:v>1403</c:v>
                </c:pt>
                <c:pt idx="10">
                  <c:v>1403</c:v>
                </c:pt>
                <c:pt idx="11">
                  <c:v>1403</c:v>
                </c:pt>
                <c:pt idx="12">
                  <c:v>1403</c:v>
                </c:pt>
                <c:pt idx="13">
                  <c:v>1403</c:v>
                </c:pt>
                <c:pt idx="14">
                  <c:v>1403</c:v>
                </c:pt>
                <c:pt idx="15">
                  <c:v>1403</c:v>
                </c:pt>
                <c:pt idx="16">
                  <c:v>1403</c:v>
                </c:pt>
                <c:pt idx="17">
                  <c:v>1403</c:v>
                </c:pt>
                <c:pt idx="18">
                  <c:v>1403</c:v>
                </c:pt>
                <c:pt idx="19">
                  <c:v>1403</c:v>
                </c:pt>
              </c:numCache>
            </c:numRef>
          </c:yVal>
          <c:smooth val="0"/>
          <c:extLst>
            <c:ext xmlns:c16="http://schemas.microsoft.com/office/drawing/2014/chart" uri="{C3380CC4-5D6E-409C-BE32-E72D297353CC}">
              <c16:uniqueId val="{00000001-F331-4689-9C4D-6EA0936C73B5}"/>
            </c:ext>
          </c:extLst>
        </c:ser>
        <c:ser>
          <c:idx val="2"/>
          <c:order val="2"/>
          <c:tx>
            <c:strRef>
              <c:f>'Alt3-1'!$P$31</c:f>
              <c:strCache>
                <c:ptCount val="1"/>
                <c:pt idx="0">
                  <c:v>Ceiling</c:v>
                </c:pt>
              </c:strCache>
            </c:strRef>
          </c:tx>
          <c:spPr>
            <a:ln w="19050" cap="rnd">
              <a:solidFill>
                <a:schemeClr val="bg1">
                  <a:lumMod val="65000"/>
                </a:schemeClr>
              </a:solidFill>
              <a:prstDash val="sysDot"/>
              <a:round/>
            </a:ln>
            <a:effectLst/>
          </c:spPr>
          <c:marker>
            <c:symbol val="none"/>
          </c:marker>
          <c:xVal>
            <c:numRef>
              <c:f>'Alt3-1'!$A$32:$A$51</c:f>
              <c:numCache>
                <c:formatCode>General</c:formatCode>
                <c:ptCount val="20"/>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numCache>
            </c:numRef>
          </c:xVal>
          <c:yVal>
            <c:numRef>
              <c:f>'Alt3-1'!$P$32:$P$51</c:f>
              <c:numCache>
                <c:formatCode>General</c:formatCode>
                <c:ptCount val="20"/>
                <c:pt idx="0">
                  <c:v>3532</c:v>
                </c:pt>
                <c:pt idx="1">
                  <c:v>3532</c:v>
                </c:pt>
                <c:pt idx="2">
                  <c:v>3532</c:v>
                </c:pt>
                <c:pt idx="3">
                  <c:v>3532</c:v>
                </c:pt>
                <c:pt idx="4">
                  <c:v>3532</c:v>
                </c:pt>
                <c:pt idx="5">
                  <c:v>3532</c:v>
                </c:pt>
                <c:pt idx="6">
                  <c:v>3532</c:v>
                </c:pt>
                <c:pt idx="7">
                  <c:v>3532</c:v>
                </c:pt>
                <c:pt idx="8">
                  <c:v>3532</c:v>
                </c:pt>
                <c:pt idx="9">
                  <c:v>3532</c:v>
                </c:pt>
                <c:pt idx="10">
                  <c:v>3532</c:v>
                </c:pt>
                <c:pt idx="11">
                  <c:v>3532</c:v>
                </c:pt>
                <c:pt idx="12">
                  <c:v>3532</c:v>
                </c:pt>
                <c:pt idx="13">
                  <c:v>3532</c:v>
                </c:pt>
                <c:pt idx="14">
                  <c:v>3532</c:v>
                </c:pt>
                <c:pt idx="15">
                  <c:v>3532</c:v>
                </c:pt>
                <c:pt idx="16">
                  <c:v>3532</c:v>
                </c:pt>
                <c:pt idx="17">
                  <c:v>3532</c:v>
                </c:pt>
                <c:pt idx="18">
                  <c:v>3532</c:v>
                </c:pt>
                <c:pt idx="19">
                  <c:v>3532</c:v>
                </c:pt>
              </c:numCache>
            </c:numRef>
          </c:yVal>
          <c:smooth val="0"/>
          <c:extLst>
            <c:ext xmlns:c16="http://schemas.microsoft.com/office/drawing/2014/chart" uri="{C3380CC4-5D6E-409C-BE32-E72D297353CC}">
              <c16:uniqueId val="{00000002-F331-4689-9C4D-6EA0936C73B5}"/>
            </c:ext>
          </c:extLst>
        </c:ser>
        <c:dLbls>
          <c:showLegendKey val="0"/>
          <c:showVal val="0"/>
          <c:showCatName val="0"/>
          <c:showSerName val="0"/>
          <c:showPercent val="0"/>
          <c:showBubbleSize val="0"/>
        </c:dLbls>
        <c:axId val="690844680"/>
        <c:axId val="690845008"/>
      </c:scatterChart>
      <c:valAx>
        <c:axId val="6908446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0845008"/>
        <c:crosses val="autoZero"/>
        <c:crossBetween val="midCat"/>
      </c:valAx>
      <c:valAx>
        <c:axId val="690845008"/>
        <c:scaling>
          <c:orientation val="minMax"/>
          <c:max val="1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084468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Trawl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'Alt3-2a'!$I$31</c:f>
              <c:strCache>
                <c:ptCount val="1"/>
                <c:pt idx="0">
                  <c:v>PSC Limit with Element 6</c:v>
                </c:pt>
              </c:strCache>
            </c:strRef>
          </c:tx>
          <c:spPr>
            <a:ln w="19050" cap="rnd">
              <a:solidFill>
                <a:schemeClr val="accent1"/>
              </a:solidFill>
              <a:round/>
            </a:ln>
            <a:effectLst/>
          </c:spPr>
          <c:marker>
            <c:symbol val="none"/>
          </c:marker>
          <c:xVal>
            <c:numRef>
              <c:f>'Alt3-2a'!$A$32:$A$52</c:f>
              <c:numCache>
                <c:formatCode>General</c:formatCode>
                <c:ptCount val="21"/>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numCache>
            </c:numRef>
          </c:xVal>
          <c:yVal>
            <c:numRef>
              <c:f>'Alt3-2a'!$I$32:$I$52</c:f>
              <c:numCache>
                <c:formatCode>#,##0</c:formatCode>
                <c:ptCount val="21"/>
                <c:pt idx="0">
                  <c:v>3241.2</c:v>
                </c:pt>
                <c:pt idx="1">
                  <c:v>3095.7999999999997</c:v>
                </c:pt>
                <c:pt idx="2">
                  <c:v>3023.1</c:v>
                </c:pt>
                <c:pt idx="3">
                  <c:v>2950.4</c:v>
                </c:pt>
                <c:pt idx="4">
                  <c:v>2664.7999999999993</c:v>
                </c:pt>
                <c:pt idx="5">
                  <c:v>2664.7999999999993</c:v>
                </c:pt>
                <c:pt idx="6">
                  <c:v>2664.7999999999993</c:v>
                </c:pt>
                <c:pt idx="7">
                  <c:v>2524.5999999999995</c:v>
                </c:pt>
                <c:pt idx="8">
                  <c:v>2664.7999999999993</c:v>
                </c:pt>
                <c:pt idx="9">
                  <c:v>2664.7999999999993</c:v>
                </c:pt>
                <c:pt idx="10">
                  <c:v>2664.7999999999993</c:v>
                </c:pt>
                <c:pt idx="11">
                  <c:v>2805</c:v>
                </c:pt>
                <c:pt idx="12">
                  <c:v>2950.4</c:v>
                </c:pt>
                <c:pt idx="13">
                  <c:v>2805</c:v>
                </c:pt>
                <c:pt idx="14">
                  <c:v>2877.7000000000003</c:v>
                </c:pt>
                <c:pt idx="15">
                  <c:v>2805</c:v>
                </c:pt>
                <c:pt idx="16">
                  <c:v>2664.7999999999997</c:v>
                </c:pt>
                <c:pt idx="17">
                  <c:v>2664.7999999999997</c:v>
                </c:pt>
                <c:pt idx="18">
                  <c:v>2384.3999999999992</c:v>
                </c:pt>
                <c:pt idx="19">
                  <c:v>2103.9999999999995</c:v>
                </c:pt>
                <c:pt idx="20">
                  <c:v>2103.9999999999995</c:v>
                </c:pt>
              </c:numCache>
            </c:numRef>
          </c:yVal>
          <c:smooth val="0"/>
          <c:extLst>
            <c:ext xmlns:c16="http://schemas.microsoft.com/office/drawing/2014/chart" uri="{C3380CC4-5D6E-409C-BE32-E72D297353CC}">
              <c16:uniqueId val="{00000000-1E44-4FB6-86D1-BDF8FEE84EAC}"/>
            </c:ext>
          </c:extLst>
        </c:ser>
        <c:ser>
          <c:idx val="1"/>
          <c:order val="1"/>
          <c:tx>
            <c:strRef>
              <c:f>'Alt3-2a'!$P$31</c:f>
              <c:strCache>
                <c:ptCount val="1"/>
                <c:pt idx="0">
                  <c:v>floor</c:v>
                </c:pt>
              </c:strCache>
            </c:strRef>
          </c:tx>
          <c:spPr>
            <a:ln w="19050" cap="rnd">
              <a:solidFill>
                <a:schemeClr val="bg1">
                  <a:lumMod val="65000"/>
                </a:schemeClr>
              </a:solidFill>
              <a:prstDash val="sysDot"/>
              <a:round/>
            </a:ln>
            <a:effectLst/>
          </c:spPr>
          <c:marker>
            <c:symbol val="none"/>
          </c:marker>
          <c:xVal>
            <c:numRef>
              <c:f>'Alt3-2a'!$A$32:$A$52</c:f>
              <c:numCache>
                <c:formatCode>General</c:formatCode>
                <c:ptCount val="21"/>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numCache>
            </c:numRef>
          </c:xVal>
          <c:yVal>
            <c:numRef>
              <c:f>'Alt3-2a'!$P$32:$P$52</c:f>
              <c:numCache>
                <c:formatCode>General</c:formatCode>
                <c:ptCount val="21"/>
                <c:pt idx="0">
                  <c:v>1403</c:v>
                </c:pt>
                <c:pt idx="1">
                  <c:v>1403</c:v>
                </c:pt>
                <c:pt idx="2">
                  <c:v>1403</c:v>
                </c:pt>
                <c:pt idx="3">
                  <c:v>1403</c:v>
                </c:pt>
                <c:pt idx="4">
                  <c:v>1403</c:v>
                </c:pt>
                <c:pt idx="5">
                  <c:v>1403</c:v>
                </c:pt>
                <c:pt idx="6">
                  <c:v>1403</c:v>
                </c:pt>
                <c:pt idx="7">
                  <c:v>1403</c:v>
                </c:pt>
                <c:pt idx="8">
                  <c:v>1403</c:v>
                </c:pt>
                <c:pt idx="9">
                  <c:v>1403</c:v>
                </c:pt>
                <c:pt idx="10">
                  <c:v>1403</c:v>
                </c:pt>
                <c:pt idx="11">
                  <c:v>1403</c:v>
                </c:pt>
                <c:pt idx="12">
                  <c:v>1403</c:v>
                </c:pt>
                <c:pt idx="13">
                  <c:v>1403</c:v>
                </c:pt>
                <c:pt idx="14">
                  <c:v>1403</c:v>
                </c:pt>
                <c:pt idx="15">
                  <c:v>1403</c:v>
                </c:pt>
                <c:pt idx="16">
                  <c:v>1403</c:v>
                </c:pt>
                <c:pt idx="17">
                  <c:v>1403</c:v>
                </c:pt>
                <c:pt idx="18">
                  <c:v>1403</c:v>
                </c:pt>
                <c:pt idx="19">
                  <c:v>1403</c:v>
                </c:pt>
                <c:pt idx="20">
                  <c:v>1403</c:v>
                </c:pt>
              </c:numCache>
            </c:numRef>
          </c:yVal>
          <c:smooth val="0"/>
          <c:extLst>
            <c:ext xmlns:c16="http://schemas.microsoft.com/office/drawing/2014/chart" uri="{C3380CC4-5D6E-409C-BE32-E72D297353CC}">
              <c16:uniqueId val="{00000001-1E44-4FB6-86D1-BDF8FEE84EAC}"/>
            </c:ext>
          </c:extLst>
        </c:ser>
        <c:ser>
          <c:idx val="2"/>
          <c:order val="2"/>
          <c:tx>
            <c:strRef>
              <c:f>'Alt3-2a'!$Q$31</c:f>
              <c:strCache>
                <c:ptCount val="1"/>
                <c:pt idx="0">
                  <c:v>ceiling</c:v>
                </c:pt>
              </c:strCache>
            </c:strRef>
          </c:tx>
          <c:spPr>
            <a:ln w="19050" cap="rnd">
              <a:solidFill>
                <a:schemeClr val="accent3"/>
              </a:solidFill>
              <a:prstDash val="sysDot"/>
              <a:round/>
            </a:ln>
            <a:effectLst/>
          </c:spPr>
          <c:marker>
            <c:symbol val="none"/>
          </c:marker>
          <c:xVal>
            <c:numRef>
              <c:f>'Alt3-2a'!$A$32:$A$52</c:f>
              <c:numCache>
                <c:formatCode>General</c:formatCode>
                <c:ptCount val="21"/>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numCache>
            </c:numRef>
          </c:xVal>
          <c:yVal>
            <c:numRef>
              <c:f>'Alt3-2a'!$Q$32:$Q$52</c:f>
              <c:numCache>
                <c:formatCode>General</c:formatCode>
                <c:ptCount val="21"/>
                <c:pt idx="0">
                  <c:v>3532</c:v>
                </c:pt>
                <c:pt idx="1">
                  <c:v>3532</c:v>
                </c:pt>
                <c:pt idx="2">
                  <c:v>3532</c:v>
                </c:pt>
                <c:pt idx="3">
                  <c:v>3532</c:v>
                </c:pt>
                <c:pt idx="4">
                  <c:v>3532</c:v>
                </c:pt>
                <c:pt idx="5">
                  <c:v>3532</c:v>
                </c:pt>
                <c:pt idx="6">
                  <c:v>3532</c:v>
                </c:pt>
                <c:pt idx="7">
                  <c:v>3532</c:v>
                </c:pt>
                <c:pt idx="8">
                  <c:v>3532</c:v>
                </c:pt>
                <c:pt idx="9">
                  <c:v>3532</c:v>
                </c:pt>
                <c:pt idx="10">
                  <c:v>3532</c:v>
                </c:pt>
                <c:pt idx="11">
                  <c:v>3532</c:v>
                </c:pt>
                <c:pt idx="12">
                  <c:v>3532</c:v>
                </c:pt>
                <c:pt idx="13">
                  <c:v>3532</c:v>
                </c:pt>
                <c:pt idx="14">
                  <c:v>3532</c:v>
                </c:pt>
                <c:pt idx="15">
                  <c:v>3532</c:v>
                </c:pt>
                <c:pt idx="16">
                  <c:v>3532</c:v>
                </c:pt>
                <c:pt idx="17">
                  <c:v>3532</c:v>
                </c:pt>
                <c:pt idx="18">
                  <c:v>3532</c:v>
                </c:pt>
                <c:pt idx="19">
                  <c:v>3532</c:v>
                </c:pt>
                <c:pt idx="20">
                  <c:v>3532</c:v>
                </c:pt>
              </c:numCache>
            </c:numRef>
          </c:yVal>
          <c:smooth val="0"/>
          <c:extLst>
            <c:ext xmlns:c16="http://schemas.microsoft.com/office/drawing/2014/chart" uri="{C3380CC4-5D6E-409C-BE32-E72D297353CC}">
              <c16:uniqueId val="{00000002-1E44-4FB6-86D1-BDF8FEE84EAC}"/>
            </c:ext>
          </c:extLst>
        </c:ser>
        <c:dLbls>
          <c:showLegendKey val="0"/>
          <c:showVal val="0"/>
          <c:showCatName val="0"/>
          <c:showSerName val="0"/>
          <c:showPercent val="0"/>
          <c:showBubbleSize val="0"/>
        </c:dLbls>
        <c:axId val="2635864"/>
        <c:axId val="623807512"/>
      </c:scatterChart>
      <c:valAx>
        <c:axId val="263586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3807512"/>
        <c:crosses val="autoZero"/>
        <c:crossBetween val="midCat"/>
      </c:valAx>
      <c:valAx>
        <c:axId val="6238075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63586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Non-Trawl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'Alt3-2a'!$I$71</c:f>
              <c:strCache>
                <c:ptCount val="1"/>
                <c:pt idx="0">
                  <c:v>PSC Limit with Element 6</c:v>
                </c:pt>
              </c:strCache>
            </c:strRef>
          </c:tx>
          <c:spPr>
            <a:ln w="19050" cap="rnd">
              <a:solidFill>
                <a:schemeClr val="accent1"/>
              </a:solidFill>
              <a:round/>
            </a:ln>
            <a:effectLst/>
          </c:spPr>
          <c:marker>
            <c:symbol val="none"/>
          </c:marker>
          <c:xVal>
            <c:numRef>
              <c:f>'Alt3-2a'!$A$72:$A$92</c:f>
              <c:numCache>
                <c:formatCode>General</c:formatCode>
                <c:ptCount val="21"/>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numCache>
            </c:numRef>
          </c:xVal>
          <c:yVal>
            <c:numRef>
              <c:f>'Alt3-2a'!$I$72:$I$92</c:f>
              <c:numCache>
                <c:formatCode>#,##0</c:formatCode>
                <c:ptCount val="21"/>
                <c:pt idx="0">
                  <c:v>820.39999999999986</c:v>
                </c:pt>
                <c:pt idx="1">
                  <c:v>783.59999999999991</c:v>
                </c:pt>
                <c:pt idx="2">
                  <c:v>765.19999999999993</c:v>
                </c:pt>
                <c:pt idx="3">
                  <c:v>746.8</c:v>
                </c:pt>
                <c:pt idx="4">
                  <c:v>674.5</c:v>
                </c:pt>
                <c:pt idx="5">
                  <c:v>674.5</c:v>
                </c:pt>
                <c:pt idx="6">
                  <c:v>674.5</c:v>
                </c:pt>
                <c:pt idx="7">
                  <c:v>639</c:v>
                </c:pt>
                <c:pt idx="8">
                  <c:v>674.5</c:v>
                </c:pt>
                <c:pt idx="9">
                  <c:v>674.5</c:v>
                </c:pt>
                <c:pt idx="10">
                  <c:v>674.5</c:v>
                </c:pt>
                <c:pt idx="11">
                  <c:v>710</c:v>
                </c:pt>
                <c:pt idx="12">
                  <c:v>746.8</c:v>
                </c:pt>
                <c:pt idx="13">
                  <c:v>710</c:v>
                </c:pt>
                <c:pt idx="14">
                  <c:v>728.4</c:v>
                </c:pt>
                <c:pt idx="15">
                  <c:v>710</c:v>
                </c:pt>
                <c:pt idx="16">
                  <c:v>674.5</c:v>
                </c:pt>
                <c:pt idx="17">
                  <c:v>674.5</c:v>
                </c:pt>
                <c:pt idx="18">
                  <c:v>603.5</c:v>
                </c:pt>
                <c:pt idx="19">
                  <c:v>532.5</c:v>
                </c:pt>
                <c:pt idx="20">
                  <c:v>532.5</c:v>
                </c:pt>
              </c:numCache>
            </c:numRef>
          </c:yVal>
          <c:smooth val="0"/>
          <c:extLst>
            <c:ext xmlns:c16="http://schemas.microsoft.com/office/drawing/2014/chart" uri="{C3380CC4-5D6E-409C-BE32-E72D297353CC}">
              <c16:uniqueId val="{00000000-2343-4384-9A92-10F73EC26E0D}"/>
            </c:ext>
          </c:extLst>
        </c:ser>
        <c:ser>
          <c:idx val="1"/>
          <c:order val="1"/>
          <c:tx>
            <c:strRef>
              <c:f>'Alt3-2a'!$P$71</c:f>
              <c:strCache>
                <c:ptCount val="1"/>
                <c:pt idx="0">
                  <c:v>floor</c:v>
                </c:pt>
              </c:strCache>
            </c:strRef>
          </c:tx>
          <c:spPr>
            <a:ln w="19050" cap="rnd">
              <a:solidFill>
                <a:schemeClr val="bg1">
                  <a:lumMod val="65000"/>
                </a:schemeClr>
              </a:solidFill>
              <a:prstDash val="sysDot"/>
              <a:round/>
            </a:ln>
            <a:effectLst/>
          </c:spPr>
          <c:marker>
            <c:symbol val="none"/>
          </c:marker>
          <c:xVal>
            <c:numRef>
              <c:f>'Alt3-2a'!$A$72:$A$92</c:f>
              <c:numCache>
                <c:formatCode>General</c:formatCode>
                <c:ptCount val="21"/>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numCache>
            </c:numRef>
          </c:xVal>
          <c:yVal>
            <c:numRef>
              <c:f>'Alt3-2a'!$P$72:$P$92</c:f>
              <c:numCache>
                <c:formatCode>General</c:formatCode>
                <c:ptCount val="21"/>
                <c:pt idx="0">
                  <c:v>355</c:v>
                </c:pt>
                <c:pt idx="1">
                  <c:v>355</c:v>
                </c:pt>
                <c:pt idx="2">
                  <c:v>355</c:v>
                </c:pt>
                <c:pt idx="3">
                  <c:v>355</c:v>
                </c:pt>
                <c:pt idx="4">
                  <c:v>355</c:v>
                </c:pt>
                <c:pt idx="5">
                  <c:v>355</c:v>
                </c:pt>
                <c:pt idx="6">
                  <c:v>355</c:v>
                </c:pt>
                <c:pt idx="7">
                  <c:v>355</c:v>
                </c:pt>
                <c:pt idx="8">
                  <c:v>355</c:v>
                </c:pt>
                <c:pt idx="9">
                  <c:v>355</c:v>
                </c:pt>
                <c:pt idx="10">
                  <c:v>355</c:v>
                </c:pt>
                <c:pt idx="11">
                  <c:v>355</c:v>
                </c:pt>
                <c:pt idx="12">
                  <c:v>355</c:v>
                </c:pt>
                <c:pt idx="13">
                  <c:v>355</c:v>
                </c:pt>
                <c:pt idx="14">
                  <c:v>355</c:v>
                </c:pt>
                <c:pt idx="15">
                  <c:v>355</c:v>
                </c:pt>
                <c:pt idx="16">
                  <c:v>355</c:v>
                </c:pt>
                <c:pt idx="17">
                  <c:v>355</c:v>
                </c:pt>
                <c:pt idx="18">
                  <c:v>355</c:v>
                </c:pt>
                <c:pt idx="19">
                  <c:v>355</c:v>
                </c:pt>
                <c:pt idx="20">
                  <c:v>355</c:v>
                </c:pt>
              </c:numCache>
            </c:numRef>
          </c:yVal>
          <c:smooth val="0"/>
          <c:extLst>
            <c:ext xmlns:c16="http://schemas.microsoft.com/office/drawing/2014/chart" uri="{C3380CC4-5D6E-409C-BE32-E72D297353CC}">
              <c16:uniqueId val="{00000001-2343-4384-9A92-10F73EC26E0D}"/>
            </c:ext>
          </c:extLst>
        </c:ser>
        <c:ser>
          <c:idx val="2"/>
          <c:order val="2"/>
          <c:tx>
            <c:strRef>
              <c:f>'Alt3-2a'!$Q$71</c:f>
              <c:strCache>
                <c:ptCount val="1"/>
                <c:pt idx="0">
                  <c:v>ceiling</c:v>
                </c:pt>
              </c:strCache>
            </c:strRef>
          </c:tx>
          <c:spPr>
            <a:ln w="19050" cap="rnd">
              <a:solidFill>
                <a:schemeClr val="accent3"/>
              </a:solidFill>
              <a:prstDash val="sysDot"/>
              <a:round/>
            </a:ln>
            <a:effectLst/>
          </c:spPr>
          <c:marker>
            <c:symbol val="none"/>
          </c:marker>
          <c:xVal>
            <c:numRef>
              <c:f>'Alt3-2a'!$A$72:$A$92</c:f>
              <c:numCache>
                <c:formatCode>General</c:formatCode>
                <c:ptCount val="21"/>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numCache>
            </c:numRef>
          </c:xVal>
          <c:yVal>
            <c:numRef>
              <c:f>'Alt3-2a'!$Q$72:$Q$92</c:f>
              <c:numCache>
                <c:formatCode>General</c:formatCode>
                <c:ptCount val="21"/>
                <c:pt idx="0">
                  <c:v>894</c:v>
                </c:pt>
                <c:pt idx="1">
                  <c:v>894</c:v>
                </c:pt>
                <c:pt idx="2">
                  <c:v>894</c:v>
                </c:pt>
                <c:pt idx="3">
                  <c:v>894</c:v>
                </c:pt>
                <c:pt idx="4">
                  <c:v>894</c:v>
                </c:pt>
                <c:pt idx="5">
                  <c:v>894</c:v>
                </c:pt>
                <c:pt idx="6">
                  <c:v>894</c:v>
                </c:pt>
                <c:pt idx="7">
                  <c:v>894</c:v>
                </c:pt>
                <c:pt idx="8">
                  <c:v>894</c:v>
                </c:pt>
                <c:pt idx="9">
                  <c:v>894</c:v>
                </c:pt>
                <c:pt idx="10">
                  <c:v>894</c:v>
                </c:pt>
                <c:pt idx="11">
                  <c:v>894</c:v>
                </c:pt>
                <c:pt idx="12">
                  <c:v>894</c:v>
                </c:pt>
                <c:pt idx="13">
                  <c:v>894</c:v>
                </c:pt>
                <c:pt idx="14">
                  <c:v>894</c:v>
                </c:pt>
                <c:pt idx="15">
                  <c:v>894</c:v>
                </c:pt>
                <c:pt idx="16">
                  <c:v>894</c:v>
                </c:pt>
                <c:pt idx="17">
                  <c:v>894</c:v>
                </c:pt>
                <c:pt idx="18">
                  <c:v>894</c:v>
                </c:pt>
                <c:pt idx="19">
                  <c:v>894</c:v>
                </c:pt>
                <c:pt idx="20">
                  <c:v>894</c:v>
                </c:pt>
              </c:numCache>
            </c:numRef>
          </c:yVal>
          <c:smooth val="0"/>
          <c:extLst>
            <c:ext xmlns:c16="http://schemas.microsoft.com/office/drawing/2014/chart" uri="{C3380CC4-5D6E-409C-BE32-E72D297353CC}">
              <c16:uniqueId val="{00000002-2343-4384-9A92-10F73EC26E0D}"/>
            </c:ext>
          </c:extLst>
        </c:ser>
        <c:dLbls>
          <c:showLegendKey val="0"/>
          <c:showVal val="0"/>
          <c:showCatName val="0"/>
          <c:showSerName val="0"/>
          <c:showPercent val="0"/>
          <c:showBubbleSize val="0"/>
        </c:dLbls>
        <c:axId val="2635864"/>
        <c:axId val="623807512"/>
      </c:scatterChart>
      <c:valAx>
        <c:axId val="263586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3807512"/>
        <c:crosses val="autoZero"/>
        <c:crossBetween val="midCat"/>
      </c:valAx>
      <c:valAx>
        <c:axId val="6238075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63586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Trawl PSC Limit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'Alt3-3a'!$I$31</c:f>
              <c:strCache>
                <c:ptCount val="1"/>
                <c:pt idx="0">
                  <c:v>PSC Limit with Element 6</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'Alt3-3a'!$A$32:$A$51</c:f>
              <c:numCache>
                <c:formatCode>General</c:formatCode>
                <c:ptCount val="20"/>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numCache>
            </c:numRef>
          </c:xVal>
          <c:yVal>
            <c:numRef>
              <c:f>'Alt3-3a'!$I$32:$I$51</c:f>
              <c:numCache>
                <c:formatCode>#,##0</c:formatCode>
                <c:ptCount val="20"/>
                <c:pt idx="0">
                  <c:v>2805</c:v>
                </c:pt>
                <c:pt idx="1">
                  <c:v>2805</c:v>
                </c:pt>
                <c:pt idx="2">
                  <c:v>2805</c:v>
                </c:pt>
                <c:pt idx="3">
                  <c:v>2805</c:v>
                </c:pt>
                <c:pt idx="4">
                  <c:v>2544.8564767173589</c:v>
                </c:pt>
                <c:pt idx="5">
                  <c:v>2406.3822684304037</c:v>
                </c:pt>
                <c:pt idx="6">
                  <c:v>2204.9547985956883</c:v>
                </c:pt>
                <c:pt idx="7">
                  <c:v>2119.9374266059076</c:v>
                </c:pt>
                <c:pt idx="8">
                  <c:v>2277.130447420283</c:v>
                </c:pt>
                <c:pt idx="9">
                  <c:v>2196.4063440132486</c:v>
                </c:pt>
                <c:pt idx="10">
                  <c:v>2309.8518330870384</c:v>
                </c:pt>
                <c:pt idx="11">
                  <c:v>2336.9585916251926</c:v>
                </c:pt>
                <c:pt idx="12">
                  <c:v>2305.758581035233</c:v>
                </c:pt>
                <c:pt idx="13">
                  <c:v>2162.7567680376969</c:v>
                </c:pt>
                <c:pt idx="14">
                  <c:v>2114.692983741078</c:v>
                </c:pt>
                <c:pt idx="15">
                  <c:v>2002.2702752971857</c:v>
                </c:pt>
                <c:pt idx="16">
                  <c:v>1948.9142228122091</c:v>
                </c:pt>
                <c:pt idx="17">
                  <c:v>1981.9876925024657</c:v>
                </c:pt>
                <c:pt idx="18">
                  <c:v>1834.7942489849988</c:v>
                </c:pt>
                <c:pt idx="19">
                  <c:v>1591.1312070984761</c:v>
                </c:pt>
              </c:numCache>
            </c:numRef>
          </c:yVal>
          <c:smooth val="0"/>
          <c:extLst>
            <c:ext xmlns:c16="http://schemas.microsoft.com/office/drawing/2014/chart" uri="{C3380CC4-5D6E-409C-BE32-E72D297353CC}">
              <c16:uniqueId val="{00000000-2AC1-4ED3-B04C-7DF26ECE03BA}"/>
            </c:ext>
          </c:extLst>
        </c:ser>
        <c:ser>
          <c:idx val="1"/>
          <c:order val="1"/>
          <c:tx>
            <c:strRef>
              <c:f>'Alt3-3a'!$O$31</c:f>
              <c:strCache>
                <c:ptCount val="1"/>
                <c:pt idx="0">
                  <c:v>Floor</c:v>
                </c:pt>
              </c:strCache>
            </c:strRef>
          </c:tx>
          <c:spPr>
            <a:ln w="19050" cap="rnd">
              <a:solidFill>
                <a:schemeClr val="bg1">
                  <a:lumMod val="65000"/>
                </a:schemeClr>
              </a:solidFill>
              <a:prstDash val="sysDot"/>
              <a:round/>
            </a:ln>
            <a:effectLst/>
          </c:spPr>
          <c:marker>
            <c:symbol val="none"/>
          </c:marker>
          <c:xVal>
            <c:numRef>
              <c:f>'Alt3-3a'!$A$32:$A$51</c:f>
              <c:numCache>
                <c:formatCode>General</c:formatCode>
                <c:ptCount val="20"/>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numCache>
            </c:numRef>
          </c:xVal>
          <c:yVal>
            <c:numRef>
              <c:f>'Alt3-3a'!$O$32:$O$51</c:f>
              <c:numCache>
                <c:formatCode>General</c:formatCode>
                <c:ptCount val="20"/>
                <c:pt idx="0">
                  <c:v>798</c:v>
                </c:pt>
                <c:pt idx="1">
                  <c:v>798</c:v>
                </c:pt>
                <c:pt idx="2">
                  <c:v>798</c:v>
                </c:pt>
                <c:pt idx="3">
                  <c:v>798</c:v>
                </c:pt>
                <c:pt idx="4">
                  <c:v>798</c:v>
                </c:pt>
                <c:pt idx="5">
                  <c:v>798</c:v>
                </c:pt>
                <c:pt idx="6">
                  <c:v>798</c:v>
                </c:pt>
                <c:pt idx="7">
                  <c:v>798</c:v>
                </c:pt>
                <c:pt idx="8">
                  <c:v>798</c:v>
                </c:pt>
                <c:pt idx="9">
                  <c:v>798</c:v>
                </c:pt>
                <c:pt idx="10">
                  <c:v>798</c:v>
                </c:pt>
                <c:pt idx="11">
                  <c:v>798</c:v>
                </c:pt>
                <c:pt idx="12">
                  <c:v>798</c:v>
                </c:pt>
                <c:pt idx="13">
                  <c:v>798</c:v>
                </c:pt>
                <c:pt idx="14">
                  <c:v>798</c:v>
                </c:pt>
                <c:pt idx="15">
                  <c:v>798</c:v>
                </c:pt>
                <c:pt idx="16">
                  <c:v>798</c:v>
                </c:pt>
                <c:pt idx="17">
                  <c:v>798</c:v>
                </c:pt>
                <c:pt idx="18">
                  <c:v>798</c:v>
                </c:pt>
                <c:pt idx="19">
                  <c:v>798</c:v>
                </c:pt>
              </c:numCache>
            </c:numRef>
          </c:yVal>
          <c:smooth val="0"/>
          <c:extLst>
            <c:ext xmlns:c16="http://schemas.microsoft.com/office/drawing/2014/chart" uri="{C3380CC4-5D6E-409C-BE32-E72D297353CC}">
              <c16:uniqueId val="{00000001-2AC1-4ED3-B04C-7DF26ECE03BA}"/>
            </c:ext>
          </c:extLst>
        </c:ser>
        <c:ser>
          <c:idx val="2"/>
          <c:order val="2"/>
          <c:tx>
            <c:strRef>
              <c:f>'Alt3-3a'!$P$31</c:f>
              <c:strCache>
                <c:ptCount val="1"/>
                <c:pt idx="0">
                  <c:v>Ceiling</c:v>
                </c:pt>
              </c:strCache>
            </c:strRef>
          </c:tx>
          <c:spPr>
            <a:ln w="19050" cap="rnd">
              <a:solidFill>
                <a:schemeClr val="bg1">
                  <a:lumMod val="65000"/>
                </a:schemeClr>
              </a:solidFill>
              <a:prstDash val="sysDot"/>
              <a:round/>
            </a:ln>
            <a:effectLst/>
          </c:spPr>
          <c:marker>
            <c:symbol val="none"/>
          </c:marker>
          <c:xVal>
            <c:numRef>
              <c:f>'Alt3-3a'!$A$32:$A$51</c:f>
              <c:numCache>
                <c:formatCode>General</c:formatCode>
                <c:ptCount val="20"/>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numCache>
            </c:numRef>
          </c:xVal>
          <c:yVal>
            <c:numRef>
              <c:f>'Alt3-3a'!$P$32:$P$51</c:f>
              <c:numCache>
                <c:formatCode>General</c:formatCode>
                <c:ptCount val="20"/>
                <c:pt idx="0">
                  <c:v>2805</c:v>
                </c:pt>
                <c:pt idx="1">
                  <c:v>2805</c:v>
                </c:pt>
                <c:pt idx="2">
                  <c:v>2805</c:v>
                </c:pt>
                <c:pt idx="3">
                  <c:v>2805</c:v>
                </c:pt>
                <c:pt idx="4">
                  <c:v>2805</c:v>
                </c:pt>
                <c:pt idx="5">
                  <c:v>2805</c:v>
                </c:pt>
                <c:pt idx="6">
                  <c:v>2805</c:v>
                </c:pt>
                <c:pt idx="7">
                  <c:v>2805</c:v>
                </c:pt>
                <c:pt idx="8">
                  <c:v>2805</c:v>
                </c:pt>
                <c:pt idx="9">
                  <c:v>2805</c:v>
                </c:pt>
                <c:pt idx="10">
                  <c:v>2805</c:v>
                </c:pt>
                <c:pt idx="11">
                  <c:v>2805</c:v>
                </c:pt>
                <c:pt idx="12">
                  <c:v>2805</c:v>
                </c:pt>
                <c:pt idx="13">
                  <c:v>2805</c:v>
                </c:pt>
                <c:pt idx="14">
                  <c:v>2805</c:v>
                </c:pt>
                <c:pt idx="15">
                  <c:v>2805</c:v>
                </c:pt>
                <c:pt idx="16">
                  <c:v>2805</c:v>
                </c:pt>
                <c:pt idx="17">
                  <c:v>2805</c:v>
                </c:pt>
                <c:pt idx="18">
                  <c:v>2805</c:v>
                </c:pt>
                <c:pt idx="19">
                  <c:v>2805</c:v>
                </c:pt>
              </c:numCache>
            </c:numRef>
          </c:yVal>
          <c:smooth val="0"/>
          <c:extLst>
            <c:ext xmlns:c16="http://schemas.microsoft.com/office/drawing/2014/chart" uri="{C3380CC4-5D6E-409C-BE32-E72D297353CC}">
              <c16:uniqueId val="{00000002-2AC1-4ED3-B04C-7DF26ECE03BA}"/>
            </c:ext>
          </c:extLst>
        </c:ser>
        <c:dLbls>
          <c:showLegendKey val="0"/>
          <c:showVal val="0"/>
          <c:showCatName val="0"/>
          <c:showSerName val="0"/>
          <c:showPercent val="0"/>
          <c:showBubbleSize val="0"/>
        </c:dLbls>
        <c:axId val="690844680"/>
        <c:axId val="690845008"/>
      </c:scatterChart>
      <c:valAx>
        <c:axId val="6908446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0845008"/>
        <c:crosses val="autoZero"/>
        <c:crossBetween val="midCat"/>
      </c:valAx>
      <c:valAx>
        <c:axId val="6908450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084468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Non-Trawl PSC</a:t>
            </a:r>
            <a:r>
              <a:rPr lang="en-US" baseline="0"/>
              <a:t> Limit</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'Alt3-3a'!$I$31</c:f>
              <c:strCache>
                <c:ptCount val="1"/>
                <c:pt idx="0">
                  <c:v>PSC Limit with Element 6</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'Alt3-3a'!$A$58:$A$78</c:f>
              <c:numCache>
                <c:formatCode>General</c:formatCode>
                <c:ptCount val="21"/>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numCache>
            </c:numRef>
          </c:xVal>
          <c:yVal>
            <c:numRef>
              <c:f>'Alt3-3a'!$I$58:$I$78</c:f>
              <c:numCache>
                <c:formatCode>#,##0</c:formatCode>
                <c:ptCount val="21"/>
                <c:pt idx="0">
                  <c:v>710</c:v>
                </c:pt>
                <c:pt idx="1">
                  <c:v>710</c:v>
                </c:pt>
                <c:pt idx="2">
                  <c:v>710</c:v>
                </c:pt>
                <c:pt idx="3">
                  <c:v>710</c:v>
                </c:pt>
                <c:pt idx="4">
                  <c:v>643.1339144615207</c:v>
                </c:pt>
                <c:pt idx="5">
                  <c:v>608.1388330326356</c:v>
                </c:pt>
                <c:pt idx="6">
                  <c:v>557.23425812239077</c:v>
                </c:pt>
                <c:pt idx="7">
                  <c:v>535.74874184858186</c:v>
                </c:pt>
                <c:pt idx="8">
                  <c:v>575.47442529175419</c:v>
                </c:pt>
                <c:pt idx="9">
                  <c:v>555.07390011851135</c:v>
                </c:pt>
                <c:pt idx="10">
                  <c:v>583.74374540587348</c:v>
                </c:pt>
                <c:pt idx="11">
                  <c:v>590.59414183746071</c:v>
                </c:pt>
                <c:pt idx="12">
                  <c:v>582.70930230896806</c:v>
                </c:pt>
                <c:pt idx="13">
                  <c:v>546.5700085571915</c:v>
                </c:pt>
                <c:pt idx="14">
                  <c:v>534.42337081108496</c:v>
                </c:pt>
                <c:pt idx="15">
                  <c:v>506.01200175456705</c:v>
                </c:pt>
                <c:pt idx="16">
                  <c:v>492.52790659681551</c:v>
                </c:pt>
                <c:pt idx="17">
                  <c:v>500.88620507899805</c:v>
                </c:pt>
                <c:pt idx="18">
                  <c:v>463.6876061094527</c:v>
                </c:pt>
                <c:pt idx="19">
                  <c:v>402.10929418035704</c:v>
                </c:pt>
                <c:pt idx="20">
                  <c:v>395</c:v>
                </c:pt>
              </c:numCache>
            </c:numRef>
          </c:yVal>
          <c:smooth val="0"/>
          <c:extLst>
            <c:ext xmlns:c16="http://schemas.microsoft.com/office/drawing/2014/chart" uri="{C3380CC4-5D6E-409C-BE32-E72D297353CC}">
              <c16:uniqueId val="{00000000-1771-4D56-8CD7-ABB593F4B563}"/>
            </c:ext>
          </c:extLst>
        </c:ser>
        <c:ser>
          <c:idx val="1"/>
          <c:order val="1"/>
          <c:tx>
            <c:strRef>
              <c:f>'Alt3-3a'!$O$31</c:f>
              <c:strCache>
                <c:ptCount val="1"/>
                <c:pt idx="0">
                  <c:v>Floor</c:v>
                </c:pt>
              </c:strCache>
            </c:strRef>
          </c:tx>
          <c:spPr>
            <a:ln w="19050" cap="rnd">
              <a:solidFill>
                <a:schemeClr val="bg1">
                  <a:lumMod val="65000"/>
                </a:schemeClr>
              </a:solidFill>
              <a:prstDash val="sysDot"/>
              <a:round/>
            </a:ln>
            <a:effectLst/>
          </c:spPr>
          <c:marker>
            <c:symbol val="none"/>
          </c:marker>
          <c:xVal>
            <c:numRef>
              <c:f>'Alt3-3a'!$A$32:$A$51</c:f>
              <c:numCache>
                <c:formatCode>General</c:formatCode>
                <c:ptCount val="20"/>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numCache>
            </c:numRef>
          </c:xVal>
          <c:yVal>
            <c:numRef>
              <c:f>'Alt3-3a'!$O$32:$O$51</c:f>
              <c:numCache>
                <c:formatCode>General</c:formatCode>
                <c:ptCount val="20"/>
                <c:pt idx="0">
                  <c:v>798</c:v>
                </c:pt>
                <c:pt idx="1">
                  <c:v>798</c:v>
                </c:pt>
                <c:pt idx="2">
                  <c:v>798</c:v>
                </c:pt>
                <c:pt idx="3">
                  <c:v>798</c:v>
                </c:pt>
                <c:pt idx="4">
                  <c:v>798</c:v>
                </c:pt>
                <c:pt idx="5">
                  <c:v>798</c:v>
                </c:pt>
                <c:pt idx="6">
                  <c:v>798</c:v>
                </c:pt>
                <c:pt idx="7">
                  <c:v>798</c:v>
                </c:pt>
                <c:pt idx="8">
                  <c:v>798</c:v>
                </c:pt>
                <c:pt idx="9">
                  <c:v>798</c:v>
                </c:pt>
                <c:pt idx="10">
                  <c:v>798</c:v>
                </c:pt>
                <c:pt idx="11">
                  <c:v>798</c:v>
                </c:pt>
                <c:pt idx="12">
                  <c:v>798</c:v>
                </c:pt>
                <c:pt idx="13">
                  <c:v>798</c:v>
                </c:pt>
                <c:pt idx="14">
                  <c:v>798</c:v>
                </c:pt>
                <c:pt idx="15">
                  <c:v>798</c:v>
                </c:pt>
                <c:pt idx="16">
                  <c:v>798</c:v>
                </c:pt>
                <c:pt idx="17">
                  <c:v>798</c:v>
                </c:pt>
                <c:pt idx="18">
                  <c:v>798</c:v>
                </c:pt>
                <c:pt idx="19">
                  <c:v>798</c:v>
                </c:pt>
              </c:numCache>
            </c:numRef>
          </c:yVal>
          <c:smooth val="0"/>
          <c:extLst>
            <c:ext xmlns:c16="http://schemas.microsoft.com/office/drawing/2014/chart" uri="{C3380CC4-5D6E-409C-BE32-E72D297353CC}">
              <c16:uniqueId val="{00000001-1771-4D56-8CD7-ABB593F4B563}"/>
            </c:ext>
          </c:extLst>
        </c:ser>
        <c:ser>
          <c:idx val="2"/>
          <c:order val="2"/>
          <c:tx>
            <c:strRef>
              <c:f>'Alt3-3a'!$P$31</c:f>
              <c:strCache>
                <c:ptCount val="1"/>
                <c:pt idx="0">
                  <c:v>Ceiling</c:v>
                </c:pt>
              </c:strCache>
            </c:strRef>
          </c:tx>
          <c:spPr>
            <a:ln w="19050" cap="rnd">
              <a:solidFill>
                <a:schemeClr val="bg1">
                  <a:lumMod val="65000"/>
                </a:schemeClr>
              </a:solidFill>
              <a:prstDash val="sysDot"/>
              <a:round/>
            </a:ln>
            <a:effectLst/>
          </c:spPr>
          <c:marker>
            <c:symbol val="none"/>
          </c:marker>
          <c:xVal>
            <c:numRef>
              <c:f>'Alt3-3a'!$A$32:$A$51</c:f>
              <c:numCache>
                <c:formatCode>General</c:formatCode>
                <c:ptCount val="20"/>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numCache>
            </c:numRef>
          </c:xVal>
          <c:yVal>
            <c:numRef>
              <c:f>'Alt3-3a'!$P$32:$P$51</c:f>
              <c:numCache>
                <c:formatCode>General</c:formatCode>
                <c:ptCount val="20"/>
                <c:pt idx="0">
                  <c:v>2805</c:v>
                </c:pt>
                <c:pt idx="1">
                  <c:v>2805</c:v>
                </c:pt>
                <c:pt idx="2">
                  <c:v>2805</c:v>
                </c:pt>
                <c:pt idx="3">
                  <c:v>2805</c:v>
                </c:pt>
                <c:pt idx="4">
                  <c:v>2805</c:v>
                </c:pt>
                <c:pt idx="5">
                  <c:v>2805</c:v>
                </c:pt>
                <c:pt idx="6">
                  <c:v>2805</c:v>
                </c:pt>
                <c:pt idx="7">
                  <c:v>2805</c:v>
                </c:pt>
                <c:pt idx="8">
                  <c:v>2805</c:v>
                </c:pt>
                <c:pt idx="9">
                  <c:v>2805</c:v>
                </c:pt>
                <c:pt idx="10">
                  <c:v>2805</c:v>
                </c:pt>
                <c:pt idx="11">
                  <c:v>2805</c:v>
                </c:pt>
                <c:pt idx="12">
                  <c:v>2805</c:v>
                </c:pt>
                <c:pt idx="13">
                  <c:v>2805</c:v>
                </c:pt>
                <c:pt idx="14">
                  <c:v>2805</c:v>
                </c:pt>
                <c:pt idx="15">
                  <c:v>2805</c:v>
                </c:pt>
                <c:pt idx="16">
                  <c:v>2805</c:v>
                </c:pt>
                <c:pt idx="17">
                  <c:v>2805</c:v>
                </c:pt>
                <c:pt idx="18">
                  <c:v>2805</c:v>
                </c:pt>
                <c:pt idx="19">
                  <c:v>2805</c:v>
                </c:pt>
              </c:numCache>
            </c:numRef>
          </c:yVal>
          <c:smooth val="0"/>
          <c:extLst>
            <c:ext xmlns:c16="http://schemas.microsoft.com/office/drawing/2014/chart" uri="{C3380CC4-5D6E-409C-BE32-E72D297353CC}">
              <c16:uniqueId val="{00000002-1771-4D56-8CD7-ABB593F4B563}"/>
            </c:ext>
          </c:extLst>
        </c:ser>
        <c:dLbls>
          <c:showLegendKey val="0"/>
          <c:showVal val="0"/>
          <c:showCatName val="0"/>
          <c:showSerName val="0"/>
          <c:showPercent val="0"/>
          <c:showBubbleSize val="0"/>
        </c:dLbls>
        <c:axId val="690844680"/>
        <c:axId val="690845008"/>
      </c:scatterChart>
      <c:valAx>
        <c:axId val="6908446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0845008"/>
        <c:crosses val="autoZero"/>
        <c:crossBetween val="midCat"/>
      </c:valAx>
      <c:valAx>
        <c:axId val="690845008"/>
        <c:scaling>
          <c:orientation val="minMax"/>
          <c:max val="1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084468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Trawl PSC Limit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'Alt2-1'!$G$31</c:f>
              <c:strCache>
                <c:ptCount val="1"/>
                <c:pt idx="0">
                  <c:v>PSC Limit with Element 6</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'Alt2-1'!$A$32:$A$51</c:f>
              <c:numCache>
                <c:formatCode>General</c:formatCode>
                <c:ptCount val="20"/>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numCache>
            </c:numRef>
          </c:xVal>
          <c:yVal>
            <c:numRef>
              <c:f>'Alt2-1'!$G$32:$G$51</c:f>
              <c:numCache>
                <c:formatCode>#,##0</c:formatCode>
                <c:ptCount val="20"/>
                <c:pt idx="0">
                  <c:v>3532</c:v>
                </c:pt>
                <c:pt idx="1">
                  <c:v>3002.2</c:v>
                </c:pt>
                <c:pt idx="2">
                  <c:v>2648.2393677109353</c:v>
                </c:pt>
                <c:pt idx="3">
                  <c:v>3045.4752728675753</c:v>
                </c:pt>
                <c:pt idx="4">
                  <c:v>2588.6539819374389</c:v>
                </c:pt>
                <c:pt idx="5">
                  <c:v>2948.9073761753989</c:v>
                </c:pt>
                <c:pt idx="6">
                  <c:v>2902.5820989323956</c:v>
                </c:pt>
                <c:pt idx="7">
                  <c:v>2957.0968640117103</c:v>
                </c:pt>
                <c:pt idx="8">
                  <c:v>3400.6613936134668</c:v>
                </c:pt>
                <c:pt idx="9">
                  <c:v>3211.1495043833829</c:v>
                </c:pt>
                <c:pt idx="10">
                  <c:v>3129.567031550811</c:v>
                </c:pt>
                <c:pt idx="11">
                  <c:v>3532</c:v>
                </c:pt>
                <c:pt idx="12">
                  <c:v>3532</c:v>
                </c:pt>
                <c:pt idx="13">
                  <c:v>3532</c:v>
                </c:pt>
                <c:pt idx="14">
                  <c:v>3532</c:v>
                </c:pt>
                <c:pt idx="15">
                  <c:v>3532</c:v>
                </c:pt>
                <c:pt idx="16">
                  <c:v>3532</c:v>
                </c:pt>
                <c:pt idx="17">
                  <c:v>3532</c:v>
                </c:pt>
                <c:pt idx="18">
                  <c:v>3429.855690442475</c:v>
                </c:pt>
                <c:pt idx="19">
                  <c:v>2915.3773368761035</c:v>
                </c:pt>
              </c:numCache>
            </c:numRef>
          </c:yVal>
          <c:smooth val="0"/>
          <c:extLst>
            <c:ext xmlns:c16="http://schemas.microsoft.com/office/drawing/2014/chart" uri="{C3380CC4-5D6E-409C-BE32-E72D297353CC}">
              <c16:uniqueId val="{00000000-9A77-483B-AEF1-D40AD55AD3C7}"/>
            </c:ext>
          </c:extLst>
        </c:ser>
        <c:ser>
          <c:idx val="1"/>
          <c:order val="1"/>
          <c:tx>
            <c:strRef>
              <c:f>'Alt2-1'!$O$31</c:f>
              <c:strCache>
                <c:ptCount val="1"/>
                <c:pt idx="0">
                  <c:v>Floor</c:v>
                </c:pt>
              </c:strCache>
            </c:strRef>
          </c:tx>
          <c:spPr>
            <a:ln w="19050" cap="rnd">
              <a:solidFill>
                <a:schemeClr val="bg1">
                  <a:lumMod val="65000"/>
                </a:schemeClr>
              </a:solidFill>
              <a:prstDash val="sysDot"/>
              <a:round/>
            </a:ln>
            <a:effectLst/>
          </c:spPr>
          <c:marker>
            <c:symbol val="none"/>
          </c:marker>
          <c:xVal>
            <c:numRef>
              <c:f>'Alt2-1'!$A$32:$A$51</c:f>
              <c:numCache>
                <c:formatCode>General</c:formatCode>
                <c:ptCount val="20"/>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numCache>
            </c:numRef>
          </c:xVal>
          <c:yVal>
            <c:numRef>
              <c:f>'Alt2-1'!$O$32:$O$51</c:f>
              <c:numCache>
                <c:formatCode>General</c:formatCode>
                <c:ptCount val="20"/>
                <c:pt idx="0">
                  <c:v>1403</c:v>
                </c:pt>
                <c:pt idx="1">
                  <c:v>1403</c:v>
                </c:pt>
                <c:pt idx="2">
                  <c:v>1403</c:v>
                </c:pt>
                <c:pt idx="3">
                  <c:v>1403</c:v>
                </c:pt>
                <c:pt idx="4">
                  <c:v>1403</c:v>
                </c:pt>
                <c:pt idx="5">
                  <c:v>1403</c:v>
                </c:pt>
                <c:pt idx="6">
                  <c:v>1403</c:v>
                </c:pt>
                <c:pt idx="7">
                  <c:v>1403</c:v>
                </c:pt>
                <c:pt idx="8">
                  <c:v>1403</c:v>
                </c:pt>
                <c:pt idx="9">
                  <c:v>1403</c:v>
                </c:pt>
                <c:pt idx="10">
                  <c:v>1403</c:v>
                </c:pt>
                <c:pt idx="11">
                  <c:v>1403</c:v>
                </c:pt>
                <c:pt idx="12">
                  <c:v>1403</c:v>
                </c:pt>
                <c:pt idx="13">
                  <c:v>1403</c:v>
                </c:pt>
                <c:pt idx="14">
                  <c:v>1403</c:v>
                </c:pt>
                <c:pt idx="15">
                  <c:v>1403</c:v>
                </c:pt>
                <c:pt idx="16">
                  <c:v>1403</c:v>
                </c:pt>
                <c:pt idx="17">
                  <c:v>1403</c:v>
                </c:pt>
                <c:pt idx="18">
                  <c:v>1403</c:v>
                </c:pt>
                <c:pt idx="19">
                  <c:v>1403</c:v>
                </c:pt>
              </c:numCache>
            </c:numRef>
          </c:yVal>
          <c:smooth val="0"/>
          <c:extLst>
            <c:ext xmlns:c16="http://schemas.microsoft.com/office/drawing/2014/chart" uri="{C3380CC4-5D6E-409C-BE32-E72D297353CC}">
              <c16:uniqueId val="{00000001-9A77-483B-AEF1-D40AD55AD3C7}"/>
            </c:ext>
          </c:extLst>
        </c:ser>
        <c:ser>
          <c:idx val="2"/>
          <c:order val="2"/>
          <c:tx>
            <c:strRef>
              <c:f>'Alt2-1'!$P$31</c:f>
              <c:strCache>
                <c:ptCount val="1"/>
                <c:pt idx="0">
                  <c:v>Ceiling</c:v>
                </c:pt>
              </c:strCache>
            </c:strRef>
          </c:tx>
          <c:spPr>
            <a:ln w="19050" cap="rnd">
              <a:solidFill>
                <a:schemeClr val="bg1">
                  <a:lumMod val="65000"/>
                </a:schemeClr>
              </a:solidFill>
              <a:prstDash val="sysDot"/>
              <a:round/>
            </a:ln>
            <a:effectLst/>
          </c:spPr>
          <c:marker>
            <c:symbol val="none"/>
          </c:marker>
          <c:xVal>
            <c:numRef>
              <c:f>'Alt2-1'!$A$32:$A$51</c:f>
              <c:numCache>
                <c:formatCode>General</c:formatCode>
                <c:ptCount val="20"/>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numCache>
            </c:numRef>
          </c:xVal>
          <c:yVal>
            <c:numRef>
              <c:f>'Alt2-1'!$P$32:$P$51</c:f>
              <c:numCache>
                <c:formatCode>General</c:formatCode>
                <c:ptCount val="20"/>
                <c:pt idx="0">
                  <c:v>3532</c:v>
                </c:pt>
                <c:pt idx="1">
                  <c:v>3532</c:v>
                </c:pt>
                <c:pt idx="2">
                  <c:v>3532</c:v>
                </c:pt>
                <c:pt idx="3">
                  <c:v>3532</c:v>
                </c:pt>
                <c:pt idx="4">
                  <c:v>3532</c:v>
                </c:pt>
                <c:pt idx="5">
                  <c:v>3532</c:v>
                </c:pt>
                <c:pt idx="6">
                  <c:v>3532</c:v>
                </c:pt>
                <c:pt idx="7">
                  <c:v>3532</c:v>
                </c:pt>
                <c:pt idx="8">
                  <c:v>3532</c:v>
                </c:pt>
                <c:pt idx="9">
                  <c:v>3532</c:v>
                </c:pt>
                <c:pt idx="10">
                  <c:v>3532</c:v>
                </c:pt>
                <c:pt idx="11">
                  <c:v>3532</c:v>
                </c:pt>
                <c:pt idx="12">
                  <c:v>3532</c:v>
                </c:pt>
                <c:pt idx="13">
                  <c:v>3532</c:v>
                </c:pt>
                <c:pt idx="14">
                  <c:v>3532</c:v>
                </c:pt>
                <c:pt idx="15">
                  <c:v>3532</c:v>
                </c:pt>
                <c:pt idx="16">
                  <c:v>3532</c:v>
                </c:pt>
                <c:pt idx="17">
                  <c:v>3532</c:v>
                </c:pt>
                <c:pt idx="18">
                  <c:v>3532</c:v>
                </c:pt>
                <c:pt idx="19">
                  <c:v>3532</c:v>
                </c:pt>
              </c:numCache>
            </c:numRef>
          </c:yVal>
          <c:smooth val="0"/>
          <c:extLst>
            <c:ext xmlns:c16="http://schemas.microsoft.com/office/drawing/2014/chart" uri="{C3380CC4-5D6E-409C-BE32-E72D297353CC}">
              <c16:uniqueId val="{00000002-9A77-483B-AEF1-D40AD55AD3C7}"/>
            </c:ext>
          </c:extLst>
        </c:ser>
        <c:dLbls>
          <c:showLegendKey val="0"/>
          <c:showVal val="0"/>
          <c:showCatName val="0"/>
          <c:showSerName val="0"/>
          <c:showPercent val="0"/>
          <c:showBubbleSize val="0"/>
        </c:dLbls>
        <c:axId val="690844680"/>
        <c:axId val="690845008"/>
      </c:scatterChart>
      <c:valAx>
        <c:axId val="6908446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0845008"/>
        <c:crosses val="autoZero"/>
        <c:crossBetween val="midCat"/>
      </c:valAx>
      <c:valAx>
        <c:axId val="6908450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084468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Non-Trawl PSC</a:t>
            </a:r>
            <a:r>
              <a:rPr lang="en-US" baseline="0"/>
              <a:t> Limit</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'Alt2-1'!$G$31</c:f>
              <c:strCache>
                <c:ptCount val="1"/>
                <c:pt idx="0">
                  <c:v>PSC Limit with Element 6</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'Alt2-1'!$A$58:$A$78</c:f>
              <c:numCache>
                <c:formatCode>General</c:formatCode>
                <c:ptCount val="21"/>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numCache>
            </c:numRef>
          </c:xVal>
          <c:yVal>
            <c:numRef>
              <c:f>'Alt2-1'!$G$58:$G$78</c:f>
              <c:numCache>
                <c:formatCode>#,##0</c:formatCode>
                <c:ptCount val="21"/>
                <c:pt idx="0">
                  <c:v>894</c:v>
                </c:pt>
                <c:pt idx="1">
                  <c:v>894</c:v>
                </c:pt>
                <c:pt idx="2">
                  <c:v>894</c:v>
                </c:pt>
                <c:pt idx="3">
                  <c:v>894</c:v>
                </c:pt>
                <c:pt idx="4">
                  <c:v>894</c:v>
                </c:pt>
                <c:pt idx="5">
                  <c:v>894</c:v>
                </c:pt>
                <c:pt idx="6">
                  <c:v>894</c:v>
                </c:pt>
                <c:pt idx="7">
                  <c:v>894</c:v>
                </c:pt>
                <c:pt idx="8">
                  <c:v>894</c:v>
                </c:pt>
                <c:pt idx="9">
                  <c:v>894</c:v>
                </c:pt>
                <c:pt idx="10">
                  <c:v>894</c:v>
                </c:pt>
                <c:pt idx="11">
                  <c:v>894</c:v>
                </c:pt>
                <c:pt idx="12">
                  <c:v>894</c:v>
                </c:pt>
                <c:pt idx="13">
                  <c:v>861.92269990197462</c:v>
                </c:pt>
                <c:pt idx="14">
                  <c:v>835.47542361013859</c:v>
                </c:pt>
                <c:pt idx="15">
                  <c:v>794.31312141156707</c:v>
                </c:pt>
                <c:pt idx="16">
                  <c:v>794.90967651589403</c:v>
                </c:pt>
                <c:pt idx="17">
                  <c:v>808.33216636325437</c:v>
                </c:pt>
                <c:pt idx="18">
                  <c:v>778.10670774401342</c:v>
                </c:pt>
                <c:pt idx="19">
                  <c:v>720.83741772860947</c:v>
                </c:pt>
                <c:pt idx="20">
                  <c:v>710</c:v>
                </c:pt>
              </c:numCache>
            </c:numRef>
          </c:yVal>
          <c:smooth val="0"/>
          <c:extLst>
            <c:ext xmlns:c16="http://schemas.microsoft.com/office/drawing/2014/chart" uri="{C3380CC4-5D6E-409C-BE32-E72D297353CC}">
              <c16:uniqueId val="{00000000-799C-44EC-B6F4-D2B7C0B01C9B}"/>
            </c:ext>
          </c:extLst>
        </c:ser>
        <c:ser>
          <c:idx val="1"/>
          <c:order val="1"/>
          <c:tx>
            <c:strRef>
              <c:f>'Alt2-1'!$O$31</c:f>
              <c:strCache>
                <c:ptCount val="1"/>
                <c:pt idx="0">
                  <c:v>Floor</c:v>
                </c:pt>
              </c:strCache>
            </c:strRef>
          </c:tx>
          <c:spPr>
            <a:ln w="19050" cap="rnd">
              <a:solidFill>
                <a:schemeClr val="accent3"/>
              </a:solidFill>
              <a:prstDash val="sysDot"/>
              <a:round/>
            </a:ln>
            <a:effectLst/>
          </c:spPr>
          <c:marker>
            <c:symbol val="none"/>
          </c:marker>
          <c:xVal>
            <c:numRef>
              <c:f>'Alt2-1'!$A$58:$A$78</c:f>
              <c:numCache>
                <c:formatCode>General</c:formatCode>
                <c:ptCount val="21"/>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numCache>
            </c:numRef>
          </c:xVal>
          <c:yVal>
            <c:numRef>
              <c:f>'Alt2-1'!$O$58:$O$78</c:f>
              <c:numCache>
                <c:formatCode>General</c:formatCode>
                <c:ptCount val="21"/>
                <c:pt idx="0">
                  <c:v>355</c:v>
                </c:pt>
                <c:pt idx="1">
                  <c:v>355</c:v>
                </c:pt>
                <c:pt idx="2">
                  <c:v>355</c:v>
                </c:pt>
                <c:pt idx="3">
                  <c:v>355</c:v>
                </c:pt>
                <c:pt idx="4">
                  <c:v>355</c:v>
                </c:pt>
                <c:pt idx="5">
                  <c:v>355</c:v>
                </c:pt>
                <c:pt idx="6">
                  <c:v>355</c:v>
                </c:pt>
                <c:pt idx="7">
                  <c:v>355</c:v>
                </c:pt>
                <c:pt idx="8">
                  <c:v>355</c:v>
                </c:pt>
                <c:pt idx="9">
                  <c:v>355</c:v>
                </c:pt>
                <c:pt idx="10">
                  <c:v>355</c:v>
                </c:pt>
                <c:pt idx="11">
                  <c:v>355</c:v>
                </c:pt>
                <c:pt idx="12">
                  <c:v>355</c:v>
                </c:pt>
                <c:pt idx="13">
                  <c:v>355</c:v>
                </c:pt>
                <c:pt idx="14">
                  <c:v>355</c:v>
                </c:pt>
                <c:pt idx="15">
                  <c:v>355</c:v>
                </c:pt>
                <c:pt idx="16">
                  <c:v>355</c:v>
                </c:pt>
                <c:pt idx="17">
                  <c:v>355</c:v>
                </c:pt>
                <c:pt idx="18">
                  <c:v>355</c:v>
                </c:pt>
                <c:pt idx="19">
                  <c:v>355</c:v>
                </c:pt>
                <c:pt idx="20">
                  <c:v>355</c:v>
                </c:pt>
              </c:numCache>
            </c:numRef>
          </c:yVal>
          <c:smooth val="0"/>
          <c:extLst>
            <c:ext xmlns:c16="http://schemas.microsoft.com/office/drawing/2014/chart" uri="{C3380CC4-5D6E-409C-BE32-E72D297353CC}">
              <c16:uniqueId val="{00000001-799C-44EC-B6F4-D2B7C0B01C9B}"/>
            </c:ext>
          </c:extLst>
        </c:ser>
        <c:ser>
          <c:idx val="2"/>
          <c:order val="2"/>
          <c:tx>
            <c:strRef>
              <c:f>'Alt2-1'!$P$31</c:f>
              <c:strCache>
                <c:ptCount val="1"/>
                <c:pt idx="0">
                  <c:v>Ceiling</c:v>
                </c:pt>
              </c:strCache>
            </c:strRef>
          </c:tx>
          <c:spPr>
            <a:ln w="19050" cap="rnd">
              <a:solidFill>
                <a:schemeClr val="accent3"/>
              </a:solidFill>
              <a:prstDash val="sysDot"/>
              <a:round/>
            </a:ln>
            <a:effectLst/>
          </c:spPr>
          <c:marker>
            <c:symbol val="none"/>
          </c:marker>
          <c:xVal>
            <c:numRef>
              <c:f>'Alt2-1'!$A$58:$A$78</c:f>
              <c:numCache>
                <c:formatCode>General</c:formatCode>
                <c:ptCount val="21"/>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numCache>
            </c:numRef>
          </c:xVal>
          <c:yVal>
            <c:numRef>
              <c:f>'Alt2-1'!$P$58:$P$78</c:f>
              <c:numCache>
                <c:formatCode>General</c:formatCode>
                <c:ptCount val="21"/>
                <c:pt idx="0">
                  <c:v>894</c:v>
                </c:pt>
                <c:pt idx="1">
                  <c:v>894</c:v>
                </c:pt>
                <c:pt idx="2">
                  <c:v>894</c:v>
                </c:pt>
                <c:pt idx="3">
                  <c:v>894</c:v>
                </c:pt>
                <c:pt idx="4">
                  <c:v>894</c:v>
                </c:pt>
                <c:pt idx="5">
                  <c:v>894</c:v>
                </c:pt>
                <c:pt idx="6">
                  <c:v>894</c:v>
                </c:pt>
                <c:pt idx="7">
                  <c:v>894</c:v>
                </c:pt>
                <c:pt idx="8">
                  <c:v>894</c:v>
                </c:pt>
                <c:pt idx="9">
                  <c:v>894</c:v>
                </c:pt>
                <c:pt idx="10">
                  <c:v>894</c:v>
                </c:pt>
                <c:pt idx="11">
                  <c:v>894</c:v>
                </c:pt>
                <c:pt idx="12">
                  <c:v>894</c:v>
                </c:pt>
                <c:pt idx="13">
                  <c:v>894</c:v>
                </c:pt>
                <c:pt idx="14">
                  <c:v>894</c:v>
                </c:pt>
                <c:pt idx="15">
                  <c:v>894</c:v>
                </c:pt>
                <c:pt idx="16">
                  <c:v>894</c:v>
                </c:pt>
                <c:pt idx="17">
                  <c:v>894</c:v>
                </c:pt>
                <c:pt idx="18">
                  <c:v>894</c:v>
                </c:pt>
                <c:pt idx="19">
                  <c:v>894</c:v>
                </c:pt>
                <c:pt idx="20">
                  <c:v>894</c:v>
                </c:pt>
              </c:numCache>
            </c:numRef>
          </c:yVal>
          <c:smooth val="0"/>
          <c:extLst>
            <c:ext xmlns:c16="http://schemas.microsoft.com/office/drawing/2014/chart" uri="{C3380CC4-5D6E-409C-BE32-E72D297353CC}">
              <c16:uniqueId val="{00000002-799C-44EC-B6F4-D2B7C0B01C9B}"/>
            </c:ext>
          </c:extLst>
        </c:ser>
        <c:dLbls>
          <c:showLegendKey val="0"/>
          <c:showVal val="0"/>
          <c:showCatName val="0"/>
          <c:showSerName val="0"/>
          <c:showPercent val="0"/>
          <c:showBubbleSize val="0"/>
        </c:dLbls>
        <c:axId val="690844680"/>
        <c:axId val="690845008"/>
      </c:scatterChart>
      <c:valAx>
        <c:axId val="6908446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0845008"/>
        <c:crosses val="autoZero"/>
        <c:crossBetween val="midCat"/>
      </c:valAx>
      <c:valAx>
        <c:axId val="690845008"/>
        <c:scaling>
          <c:orientation val="minMax"/>
          <c:max val="1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084468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Trawl PSC Limit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'Alt2-2'!$D$31</c:f>
              <c:strCache>
                <c:ptCount val="1"/>
                <c:pt idx="0">
                  <c:v>PSC Limit</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'Alt2-2'!$A$32:$A$52</c:f>
              <c:numCache>
                <c:formatCode>General</c:formatCode>
                <c:ptCount val="21"/>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numCache>
            </c:numRef>
          </c:xVal>
          <c:yVal>
            <c:numRef>
              <c:f>'Alt2-2'!$D$32:$D$52</c:f>
              <c:numCache>
                <c:formatCode>#,##0</c:formatCode>
                <c:ptCount val="21"/>
                <c:pt idx="0">
                  <c:v>2025</c:v>
                </c:pt>
                <c:pt idx="1">
                  <c:v>2025</c:v>
                </c:pt>
                <c:pt idx="2">
                  <c:v>1745</c:v>
                </c:pt>
                <c:pt idx="3">
                  <c:v>2025</c:v>
                </c:pt>
                <c:pt idx="4">
                  <c:v>1745</c:v>
                </c:pt>
                <c:pt idx="5">
                  <c:v>1745</c:v>
                </c:pt>
                <c:pt idx="6">
                  <c:v>2025</c:v>
                </c:pt>
                <c:pt idx="7">
                  <c:v>2025</c:v>
                </c:pt>
                <c:pt idx="8">
                  <c:v>2025</c:v>
                </c:pt>
                <c:pt idx="9">
                  <c:v>2025</c:v>
                </c:pt>
                <c:pt idx="10">
                  <c:v>2025</c:v>
                </c:pt>
                <c:pt idx="11">
                  <c:v>2025</c:v>
                </c:pt>
                <c:pt idx="12">
                  <c:v>2325</c:v>
                </c:pt>
                <c:pt idx="13">
                  <c:v>2325</c:v>
                </c:pt>
                <c:pt idx="14">
                  <c:v>2325</c:v>
                </c:pt>
                <c:pt idx="15">
                  <c:v>2325</c:v>
                </c:pt>
                <c:pt idx="16">
                  <c:v>2325</c:v>
                </c:pt>
                <c:pt idx="17">
                  <c:v>2025</c:v>
                </c:pt>
                <c:pt idx="18">
                  <c:v>2025</c:v>
                </c:pt>
                <c:pt idx="19">
                  <c:v>2025</c:v>
                </c:pt>
                <c:pt idx="20">
                  <c:v>2025</c:v>
                </c:pt>
              </c:numCache>
            </c:numRef>
          </c:yVal>
          <c:smooth val="0"/>
          <c:extLst>
            <c:ext xmlns:c16="http://schemas.microsoft.com/office/drawing/2014/chart" uri="{C3380CC4-5D6E-409C-BE32-E72D297353CC}">
              <c16:uniqueId val="{00000003-EDAF-4E5F-9BA3-CD161FE30273}"/>
            </c:ext>
          </c:extLst>
        </c:ser>
        <c:ser>
          <c:idx val="1"/>
          <c:order val="1"/>
          <c:tx>
            <c:strRef>
              <c:f>'Alt2-2'!$E$31</c:f>
              <c:strCache>
                <c:ptCount val="1"/>
                <c:pt idx="0">
                  <c:v>floor</c:v>
                </c:pt>
              </c:strCache>
            </c:strRef>
          </c:tx>
          <c:spPr>
            <a:ln w="19050" cap="rnd">
              <a:solidFill>
                <a:schemeClr val="bg1">
                  <a:lumMod val="65000"/>
                </a:schemeClr>
              </a:solidFill>
              <a:prstDash val="sysDot"/>
              <a:round/>
            </a:ln>
            <a:effectLst/>
          </c:spPr>
          <c:marker>
            <c:symbol val="none"/>
          </c:marker>
          <c:xVal>
            <c:numRef>
              <c:f>'Alt2-2'!$A$32:$A$52</c:f>
              <c:numCache>
                <c:formatCode>General</c:formatCode>
                <c:ptCount val="21"/>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numCache>
            </c:numRef>
          </c:xVal>
          <c:yVal>
            <c:numRef>
              <c:f>'Alt2-2'!$E$32:$E$52</c:f>
              <c:numCache>
                <c:formatCode>General</c:formatCode>
                <c:ptCount val="21"/>
                <c:pt idx="0">
                  <c:v>1412</c:v>
                </c:pt>
                <c:pt idx="1">
                  <c:v>1412</c:v>
                </c:pt>
                <c:pt idx="2">
                  <c:v>1412</c:v>
                </c:pt>
                <c:pt idx="3">
                  <c:v>1412</c:v>
                </c:pt>
                <c:pt idx="4">
                  <c:v>1412</c:v>
                </c:pt>
                <c:pt idx="5">
                  <c:v>1412</c:v>
                </c:pt>
                <c:pt idx="6">
                  <c:v>1412</c:v>
                </c:pt>
                <c:pt idx="7">
                  <c:v>1412</c:v>
                </c:pt>
                <c:pt idx="8">
                  <c:v>1412</c:v>
                </c:pt>
                <c:pt idx="9">
                  <c:v>1412</c:v>
                </c:pt>
                <c:pt idx="10">
                  <c:v>1412</c:v>
                </c:pt>
                <c:pt idx="11">
                  <c:v>1412</c:v>
                </c:pt>
                <c:pt idx="12">
                  <c:v>1412</c:v>
                </c:pt>
                <c:pt idx="13">
                  <c:v>1412</c:v>
                </c:pt>
                <c:pt idx="14">
                  <c:v>1412</c:v>
                </c:pt>
                <c:pt idx="15">
                  <c:v>1412</c:v>
                </c:pt>
                <c:pt idx="16">
                  <c:v>1412</c:v>
                </c:pt>
                <c:pt idx="17">
                  <c:v>1412</c:v>
                </c:pt>
                <c:pt idx="18">
                  <c:v>1412</c:v>
                </c:pt>
                <c:pt idx="19">
                  <c:v>1412</c:v>
                </c:pt>
                <c:pt idx="20">
                  <c:v>1412</c:v>
                </c:pt>
              </c:numCache>
            </c:numRef>
          </c:yVal>
          <c:smooth val="0"/>
          <c:extLst>
            <c:ext xmlns:c16="http://schemas.microsoft.com/office/drawing/2014/chart" uri="{C3380CC4-5D6E-409C-BE32-E72D297353CC}">
              <c16:uniqueId val="{00000004-EDAF-4E5F-9BA3-CD161FE30273}"/>
            </c:ext>
          </c:extLst>
        </c:ser>
        <c:ser>
          <c:idx val="2"/>
          <c:order val="2"/>
          <c:tx>
            <c:strRef>
              <c:f>'Alt2-2'!$F$31</c:f>
              <c:strCache>
                <c:ptCount val="1"/>
                <c:pt idx="0">
                  <c:v>ceiling</c:v>
                </c:pt>
              </c:strCache>
            </c:strRef>
          </c:tx>
          <c:spPr>
            <a:ln w="19050" cap="rnd">
              <a:solidFill>
                <a:schemeClr val="accent3"/>
              </a:solidFill>
              <a:prstDash val="sysDot"/>
              <a:round/>
            </a:ln>
            <a:effectLst/>
          </c:spPr>
          <c:marker>
            <c:symbol val="none"/>
          </c:marker>
          <c:xVal>
            <c:numRef>
              <c:f>'Alt2-2'!$A$32:$A$52</c:f>
              <c:numCache>
                <c:formatCode>General</c:formatCode>
                <c:ptCount val="21"/>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numCache>
            </c:numRef>
          </c:xVal>
          <c:yVal>
            <c:numRef>
              <c:f>'Alt2-2'!$F$32:$F$52</c:f>
              <c:numCache>
                <c:formatCode>General</c:formatCode>
                <c:ptCount val="21"/>
                <c:pt idx="0">
                  <c:v>2325</c:v>
                </c:pt>
                <c:pt idx="1">
                  <c:v>2325</c:v>
                </c:pt>
                <c:pt idx="2">
                  <c:v>2325</c:v>
                </c:pt>
                <c:pt idx="3">
                  <c:v>2325</c:v>
                </c:pt>
                <c:pt idx="4">
                  <c:v>2325</c:v>
                </c:pt>
                <c:pt idx="5">
                  <c:v>2325</c:v>
                </c:pt>
                <c:pt idx="6">
                  <c:v>2325</c:v>
                </c:pt>
                <c:pt idx="7">
                  <c:v>2325</c:v>
                </c:pt>
                <c:pt idx="8">
                  <c:v>2325</c:v>
                </c:pt>
                <c:pt idx="9">
                  <c:v>2325</c:v>
                </c:pt>
                <c:pt idx="10">
                  <c:v>2325</c:v>
                </c:pt>
                <c:pt idx="11">
                  <c:v>2325</c:v>
                </c:pt>
                <c:pt idx="12">
                  <c:v>2325</c:v>
                </c:pt>
                <c:pt idx="13">
                  <c:v>2325</c:v>
                </c:pt>
                <c:pt idx="14">
                  <c:v>2325</c:v>
                </c:pt>
                <c:pt idx="15">
                  <c:v>2325</c:v>
                </c:pt>
                <c:pt idx="16">
                  <c:v>2325</c:v>
                </c:pt>
                <c:pt idx="17">
                  <c:v>2325</c:v>
                </c:pt>
                <c:pt idx="18">
                  <c:v>2325</c:v>
                </c:pt>
                <c:pt idx="19">
                  <c:v>2325</c:v>
                </c:pt>
                <c:pt idx="20">
                  <c:v>2325</c:v>
                </c:pt>
              </c:numCache>
            </c:numRef>
          </c:yVal>
          <c:smooth val="0"/>
          <c:extLst>
            <c:ext xmlns:c16="http://schemas.microsoft.com/office/drawing/2014/chart" uri="{C3380CC4-5D6E-409C-BE32-E72D297353CC}">
              <c16:uniqueId val="{00000005-EDAF-4E5F-9BA3-CD161FE30273}"/>
            </c:ext>
          </c:extLst>
        </c:ser>
        <c:dLbls>
          <c:showLegendKey val="0"/>
          <c:showVal val="0"/>
          <c:showCatName val="0"/>
          <c:showSerName val="0"/>
          <c:showPercent val="0"/>
          <c:showBubbleSize val="0"/>
        </c:dLbls>
        <c:axId val="690844680"/>
        <c:axId val="690845008"/>
      </c:scatterChart>
      <c:valAx>
        <c:axId val="6908446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0845008"/>
        <c:crosses val="autoZero"/>
        <c:crossBetween val="midCat"/>
      </c:valAx>
      <c:valAx>
        <c:axId val="6908450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084468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Non-Trawl PSC</a:t>
            </a:r>
            <a:r>
              <a:rPr lang="en-US" baseline="0"/>
              <a:t> Limit</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'Alt2-2'!$J$31</c:f>
              <c:strCache>
                <c:ptCount val="1"/>
                <c:pt idx="0">
                  <c:v>PSC Limit</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'Alt2-2'!$G$32:$G$52</c:f>
              <c:numCache>
                <c:formatCode>General</c:formatCode>
                <c:ptCount val="21"/>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numCache>
            </c:numRef>
          </c:xVal>
          <c:yVal>
            <c:numRef>
              <c:f>'Alt2-2'!$J$32:$J$52</c:f>
              <c:numCache>
                <c:formatCode>#,##0</c:formatCode>
                <c:ptCount val="21"/>
                <c:pt idx="0">
                  <c:v>894</c:v>
                </c:pt>
                <c:pt idx="1">
                  <c:v>894</c:v>
                </c:pt>
                <c:pt idx="2">
                  <c:v>894</c:v>
                </c:pt>
                <c:pt idx="3">
                  <c:v>894</c:v>
                </c:pt>
                <c:pt idx="4">
                  <c:v>894</c:v>
                </c:pt>
                <c:pt idx="5">
                  <c:v>894</c:v>
                </c:pt>
                <c:pt idx="6">
                  <c:v>894</c:v>
                </c:pt>
                <c:pt idx="7">
                  <c:v>710</c:v>
                </c:pt>
                <c:pt idx="8">
                  <c:v>710</c:v>
                </c:pt>
                <c:pt idx="9">
                  <c:v>710</c:v>
                </c:pt>
                <c:pt idx="10">
                  <c:v>894</c:v>
                </c:pt>
                <c:pt idx="11">
                  <c:v>894</c:v>
                </c:pt>
                <c:pt idx="12">
                  <c:v>710</c:v>
                </c:pt>
                <c:pt idx="13">
                  <c:v>710</c:v>
                </c:pt>
                <c:pt idx="14">
                  <c:v>710</c:v>
                </c:pt>
                <c:pt idx="15">
                  <c:v>710</c:v>
                </c:pt>
                <c:pt idx="16">
                  <c:v>710</c:v>
                </c:pt>
                <c:pt idx="17">
                  <c:v>710</c:v>
                </c:pt>
                <c:pt idx="18">
                  <c:v>710</c:v>
                </c:pt>
                <c:pt idx="19">
                  <c:v>710</c:v>
                </c:pt>
                <c:pt idx="20">
                  <c:v>710</c:v>
                </c:pt>
              </c:numCache>
            </c:numRef>
          </c:yVal>
          <c:smooth val="0"/>
          <c:extLst>
            <c:ext xmlns:c16="http://schemas.microsoft.com/office/drawing/2014/chart" uri="{C3380CC4-5D6E-409C-BE32-E72D297353CC}">
              <c16:uniqueId val="{00000003-8CED-4E98-AF62-D8BC77EECB0D}"/>
            </c:ext>
          </c:extLst>
        </c:ser>
        <c:ser>
          <c:idx val="1"/>
          <c:order val="1"/>
          <c:tx>
            <c:strRef>
              <c:f>'Alt2-2'!$K$31</c:f>
              <c:strCache>
                <c:ptCount val="1"/>
                <c:pt idx="0">
                  <c:v>floor</c:v>
                </c:pt>
              </c:strCache>
            </c:strRef>
          </c:tx>
          <c:spPr>
            <a:ln w="19050" cap="rnd">
              <a:solidFill>
                <a:schemeClr val="bg1">
                  <a:lumMod val="65000"/>
                </a:schemeClr>
              </a:solidFill>
              <a:prstDash val="sysDot"/>
              <a:round/>
            </a:ln>
            <a:effectLst/>
          </c:spPr>
          <c:marker>
            <c:symbol val="none"/>
          </c:marker>
          <c:xVal>
            <c:numRef>
              <c:f>'Alt2-2'!$G$32:$G$52</c:f>
              <c:numCache>
                <c:formatCode>General</c:formatCode>
                <c:ptCount val="21"/>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numCache>
            </c:numRef>
          </c:xVal>
          <c:yVal>
            <c:numRef>
              <c:f>'Alt2-2'!$K$32:$K$52</c:f>
              <c:numCache>
                <c:formatCode>General</c:formatCode>
                <c:ptCount val="21"/>
                <c:pt idx="0">
                  <c:v>475</c:v>
                </c:pt>
                <c:pt idx="1">
                  <c:v>475</c:v>
                </c:pt>
                <c:pt idx="2">
                  <c:v>475</c:v>
                </c:pt>
                <c:pt idx="3">
                  <c:v>475</c:v>
                </c:pt>
                <c:pt idx="4">
                  <c:v>475</c:v>
                </c:pt>
                <c:pt idx="5">
                  <c:v>475</c:v>
                </c:pt>
                <c:pt idx="6">
                  <c:v>475</c:v>
                </c:pt>
                <c:pt idx="7">
                  <c:v>475</c:v>
                </c:pt>
                <c:pt idx="8">
                  <c:v>475</c:v>
                </c:pt>
                <c:pt idx="9">
                  <c:v>475</c:v>
                </c:pt>
                <c:pt idx="10">
                  <c:v>475</c:v>
                </c:pt>
                <c:pt idx="11">
                  <c:v>475</c:v>
                </c:pt>
                <c:pt idx="12">
                  <c:v>475</c:v>
                </c:pt>
                <c:pt idx="13">
                  <c:v>475</c:v>
                </c:pt>
                <c:pt idx="14">
                  <c:v>475</c:v>
                </c:pt>
                <c:pt idx="15">
                  <c:v>475</c:v>
                </c:pt>
                <c:pt idx="16">
                  <c:v>475</c:v>
                </c:pt>
                <c:pt idx="17">
                  <c:v>475</c:v>
                </c:pt>
                <c:pt idx="18">
                  <c:v>475</c:v>
                </c:pt>
                <c:pt idx="19">
                  <c:v>475</c:v>
                </c:pt>
                <c:pt idx="20">
                  <c:v>475</c:v>
                </c:pt>
              </c:numCache>
            </c:numRef>
          </c:yVal>
          <c:smooth val="0"/>
          <c:extLst>
            <c:ext xmlns:c16="http://schemas.microsoft.com/office/drawing/2014/chart" uri="{C3380CC4-5D6E-409C-BE32-E72D297353CC}">
              <c16:uniqueId val="{00000004-8CED-4E98-AF62-D8BC77EECB0D}"/>
            </c:ext>
          </c:extLst>
        </c:ser>
        <c:ser>
          <c:idx val="2"/>
          <c:order val="2"/>
          <c:tx>
            <c:strRef>
              <c:f>'Alt2-2'!$L$31</c:f>
              <c:strCache>
                <c:ptCount val="1"/>
                <c:pt idx="0">
                  <c:v>ceiling</c:v>
                </c:pt>
              </c:strCache>
            </c:strRef>
          </c:tx>
          <c:spPr>
            <a:ln w="19050" cap="rnd">
              <a:solidFill>
                <a:schemeClr val="accent3"/>
              </a:solidFill>
              <a:prstDash val="sysDot"/>
              <a:round/>
            </a:ln>
            <a:effectLst/>
          </c:spPr>
          <c:marker>
            <c:symbol val="none"/>
          </c:marker>
          <c:xVal>
            <c:numRef>
              <c:f>'Alt2-2'!$G$32:$G$52</c:f>
              <c:numCache>
                <c:formatCode>General</c:formatCode>
                <c:ptCount val="21"/>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numCache>
            </c:numRef>
          </c:xVal>
          <c:yVal>
            <c:numRef>
              <c:f>'Alt2-2'!$L$32:$L$52</c:f>
              <c:numCache>
                <c:formatCode>General</c:formatCode>
                <c:ptCount val="21"/>
                <c:pt idx="0">
                  <c:v>894</c:v>
                </c:pt>
                <c:pt idx="1">
                  <c:v>894</c:v>
                </c:pt>
                <c:pt idx="2">
                  <c:v>894</c:v>
                </c:pt>
                <c:pt idx="3">
                  <c:v>894</c:v>
                </c:pt>
                <c:pt idx="4">
                  <c:v>894</c:v>
                </c:pt>
                <c:pt idx="5">
                  <c:v>894</c:v>
                </c:pt>
                <c:pt idx="6">
                  <c:v>894</c:v>
                </c:pt>
                <c:pt idx="7">
                  <c:v>894</c:v>
                </c:pt>
                <c:pt idx="8">
                  <c:v>894</c:v>
                </c:pt>
                <c:pt idx="9">
                  <c:v>894</c:v>
                </c:pt>
                <c:pt idx="10">
                  <c:v>894</c:v>
                </c:pt>
                <c:pt idx="11">
                  <c:v>894</c:v>
                </c:pt>
                <c:pt idx="12">
                  <c:v>894</c:v>
                </c:pt>
                <c:pt idx="13">
                  <c:v>894</c:v>
                </c:pt>
                <c:pt idx="14">
                  <c:v>894</c:v>
                </c:pt>
                <c:pt idx="15">
                  <c:v>894</c:v>
                </c:pt>
                <c:pt idx="16">
                  <c:v>894</c:v>
                </c:pt>
                <c:pt idx="17">
                  <c:v>894</c:v>
                </c:pt>
                <c:pt idx="18">
                  <c:v>894</c:v>
                </c:pt>
                <c:pt idx="19">
                  <c:v>894</c:v>
                </c:pt>
                <c:pt idx="20">
                  <c:v>894</c:v>
                </c:pt>
              </c:numCache>
            </c:numRef>
          </c:yVal>
          <c:smooth val="0"/>
          <c:extLst>
            <c:ext xmlns:c16="http://schemas.microsoft.com/office/drawing/2014/chart" uri="{C3380CC4-5D6E-409C-BE32-E72D297353CC}">
              <c16:uniqueId val="{00000005-8CED-4E98-AF62-D8BC77EECB0D}"/>
            </c:ext>
          </c:extLst>
        </c:ser>
        <c:dLbls>
          <c:showLegendKey val="0"/>
          <c:showVal val="0"/>
          <c:showCatName val="0"/>
          <c:showSerName val="0"/>
          <c:showPercent val="0"/>
          <c:showBubbleSize val="0"/>
        </c:dLbls>
        <c:axId val="690844680"/>
        <c:axId val="690845008"/>
      </c:scatterChart>
      <c:valAx>
        <c:axId val="6908446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0845008"/>
        <c:crosses val="autoZero"/>
        <c:crossBetween val="midCat"/>
      </c:valAx>
      <c:valAx>
        <c:axId val="690845008"/>
        <c:scaling>
          <c:orientation val="minMax"/>
          <c:max val="1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084468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Trawl PSC Limit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'Alt2-3'!$G$31</c:f>
              <c:strCache>
                <c:ptCount val="1"/>
                <c:pt idx="0">
                  <c:v>PSC Limit with Element 6</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'Alt2-3'!$A$32:$A$51</c:f>
              <c:numCache>
                <c:formatCode>General</c:formatCode>
                <c:ptCount val="20"/>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numCache>
            </c:numRef>
          </c:xVal>
          <c:yVal>
            <c:numRef>
              <c:f>'Alt2-3'!$G$32:$G$51</c:f>
              <c:numCache>
                <c:formatCode>#,##0</c:formatCode>
                <c:ptCount val="20"/>
                <c:pt idx="0">
                  <c:v>3532</c:v>
                </c:pt>
                <c:pt idx="1">
                  <c:v>3002.2</c:v>
                </c:pt>
                <c:pt idx="2">
                  <c:v>2648.2393677109353</c:v>
                </c:pt>
                <c:pt idx="3">
                  <c:v>3045.4752728675753</c:v>
                </c:pt>
                <c:pt idx="4">
                  <c:v>2588.6539819374389</c:v>
                </c:pt>
                <c:pt idx="5">
                  <c:v>2948.9073761753989</c:v>
                </c:pt>
                <c:pt idx="6">
                  <c:v>2902.5820989323956</c:v>
                </c:pt>
                <c:pt idx="7">
                  <c:v>2957.0968640117103</c:v>
                </c:pt>
                <c:pt idx="8">
                  <c:v>3400.6613936134668</c:v>
                </c:pt>
                <c:pt idx="9">
                  <c:v>3211.1495043833829</c:v>
                </c:pt>
                <c:pt idx="10">
                  <c:v>3129.567031550811</c:v>
                </c:pt>
                <c:pt idx="11">
                  <c:v>3532</c:v>
                </c:pt>
                <c:pt idx="12">
                  <c:v>3532</c:v>
                </c:pt>
                <c:pt idx="13">
                  <c:v>3532</c:v>
                </c:pt>
                <c:pt idx="14">
                  <c:v>3532</c:v>
                </c:pt>
                <c:pt idx="15">
                  <c:v>3532</c:v>
                </c:pt>
                <c:pt idx="16">
                  <c:v>3532</c:v>
                </c:pt>
                <c:pt idx="17">
                  <c:v>3532</c:v>
                </c:pt>
                <c:pt idx="18">
                  <c:v>3429.855690442475</c:v>
                </c:pt>
                <c:pt idx="19">
                  <c:v>2915.3773368761035</c:v>
                </c:pt>
              </c:numCache>
            </c:numRef>
          </c:yVal>
          <c:smooth val="0"/>
          <c:extLst>
            <c:ext xmlns:c16="http://schemas.microsoft.com/office/drawing/2014/chart" uri="{C3380CC4-5D6E-409C-BE32-E72D297353CC}">
              <c16:uniqueId val="{00000000-A506-4A74-84E7-BBCB557FBEAC}"/>
            </c:ext>
          </c:extLst>
        </c:ser>
        <c:ser>
          <c:idx val="1"/>
          <c:order val="1"/>
          <c:tx>
            <c:strRef>
              <c:f>'Alt2-3'!$O$31</c:f>
              <c:strCache>
                <c:ptCount val="1"/>
                <c:pt idx="0">
                  <c:v>Floor</c:v>
                </c:pt>
              </c:strCache>
            </c:strRef>
          </c:tx>
          <c:spPr>
            <a:ln w="19050" cap="rnd">
              <a:solidFill>
                <a:schemeClr val="bg1">
                  <a:lumMod val="65000"/>
                </a:schemeClr>
              </a:solidFill>
              <a:prstDash val="sysDot"/>
              <a:round/>
            </a:ln>
            <a:effectLst/>
          </c:spPr>
          <c:marker>
            <c:symbol val="none"/>
          </c:marker>
          <c:xVal>
            <c:numRef>
              <c:f>'Alt2-3'!$A$32:$A$51</c:f>
              <c:numCache>
                <c:formatCode>General</c:formatCode>
                <c:ptCount val="20"/>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numCache>
            </c:numRef>
          </c:xVal>
          <c:yVal>
            <c:numRef>
              <c:f>'Alt2-3'!$O$32:$O$51</c:f>
              <c:numCache>
                <c:formatCode>General</c:formatCode>
                <c:ptCount val="20"/>
                <c:pt idx="0">
                  <c:v>1879</c:v>
                </c:pt>
                <c:pt idx="1">
                  <c:v>1879</c:v>
                </c:pt>
                <c:pt idx="2">
                  <c:v>1879</c:v>
                </c:pt>
                <c:pt idx="3">
                  <c:v>1879</c:v>
                </c:pt>
                <c:pt idx="4">
                  <c:v>1879</c:v>
                </c:pt>
                <c:pt idx="5">
                  <c:v>1879</c:v>
                </c:pt>
                <c:pt idx="6">
                  <c:v>1879</c:v>
                </c:pt>
                <c:pt idx="7">
                  <c:v>1879</c:v>
                </c:pt>
                <c:pt idx="8">
                  <c:v>1879</c:v>
                </c:pt>
                <c:pt idx="9">
                  <c:v>1879</c:v>
                </c:pt>
                <c:pt idx="10">
                  <c:v>1879</c:v>
                </c:pt>
                <c:pt idx="11">
                  <c:v>1879</c:v>
                </c:pt>
                <c:pt idx="12">
                  <c:v>1879</c:v>
                </c:pt>
                <c:pt idx="13">
                  <c:v>1879</c:v>
                </c:pt>
                <c:pt idx="14">
                  <c:v>1879</c:v>
                </c:pt>
                <c:pt idx="15">
                  <c:v>1879</c:v>
                </c:pt>
                <c:pt idx="16">
                  <c:v>1879</c:v>
                </c:pt>
                <c:pt idx="17">
                  <c:v>1879</c:v>
                </c:pt>
                <c:pt idx="18">
                  <c:v>1879</c:v>
                </c:pt>
                <c:pt idx="19">
                  <c:v>1879</c:v>
                </c:pt>
              </c:numCache>
            </c:numRef>
          </c:yVal>
          <c:smooth val="0"/>
          <c:extLst>
            <c:ext xmlns:c16="http://schemas.microsoft.com/office/drawing/2014/chart" uri="{C3380CC4-5D6E-409C-BE32-E72D297353CC}">
              <c16:uniqueId val="{00000001-A506-4A74-84E7-BBCB557FBEAC}"/>
            </c:ext>
          </c:extLst>
        </c:ser>
        <c:ser>
          <c:idx val="2"/>
          <c:order val="2"/>
          <c:tx>
            <c:strRef>
              <c:f>'Alt2-3'!$P$31</c:f>
              <c:strCache>
                <c:ptCount val="1"/>
                <c:pt idx="0">
                  <c:v>Ceiling</c:v>
                </c:pt>
              </c:strCache>
            </c:strRef>
          </c:tx>
          <c:spPr>
            <a:ln w="19050" cap="rnd">
              <a:solidFill>
                <a:schemeClr val="bg1">
                  <a:lumMod val="65000"/>
                </a:schemeClr>
              </a:solidFill>
              <a:prstDash val="sysDot"/>
              <a:round/>
            </a:ln>
            <a:effectLst/>
          </c:spPr>
          <c:marker>
            <c:symbol val="none"/>
          </c:marker>
          <c:xVal>
            <c:numRef>
              <c:f>'Alt2-3'!$A$32:$A$51</c:f>
              <c:numCache>
                <c:formatCode>General</c:formatCode>
                <c:ptCount val="20"/>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numCache>
            </c:numRef>
          </c:xVal>
          <c:yVal>
            <c:numRef>
              <c:f>'Alt2-3'!$P$32:$P$51</c:f>
              <c:numCache>
                <c:formatCode>General</c:formatCode>
                <c:ptCount val="20"/>
                <c:pt idx="0">
                  <c:v>3532</c:v>
                </c:pt>
                <c:pt idx="1">
                  <c:v>3532</c:v>
                </c:pt>
                <c:pt idx="2">
                  <c:v>3532</c:v>
                </c:pt>
                <c:pt idx="3">
                  <c:v>3532</c:v>
                </c:pt>
                <c:pt idx="4">
                  <c:v>3532</c:v>
                </c:pt>
                <c:pt idx="5">
                  <c:v>3532</c:v>
                </c:pt>
                <c:pt idx="6">
                  <c:v>3532</c:v>
                </c:pt>
                <c:pt idx="7">
                  <c:v>3532</c:v>
                </c:pt>
                <c:pt idx="8">
                  <c:v>3532</c:v>
                </c:pt>
                <c:pt idx="9">
                  <c:v>3532</c:v>
                </c:pt>
                <c:pt idx="10">
                  <c:v>3532</c:v>
                </c:pt>
                <c:pt idx="11">
                  <c:v>3532</c:v>
                </c:pt>
                <c:pt idx="12">
                  <c:v>3532</c:v>
                </c:pt>
                <c:pt idx="13">
                  <c:v>3532</c:v>
                </c:pt>
                <c:pt idx="14">
                  <c:v>3532</c:v>
                </c:pt>
                <c:pt idx="15">
                  <c:v>3532</c:v>
                </c:pt>
                <c:pt idx="16">
                  <c:v>3532</c:v>
                </c:pt>
                <c:pt idx="17">
                  <c:v>3532</c:v>
                </c:pt>
                <c:pt idx="18">
                  <c:v>3532</c:v>
                </c:pt>
                <c:pt idx="19">
                  <c:v>3532</c:v>
                </c:pt>
              </c:numCache>
            </c:numRef>
          </c:yVal>
          <c:smooth val="0"/>
          <c:extLst>
            <c:ext xmlns:c16="http://schemas.microsoft.com/office/drawing/2014/chart" uri="{C3380CC4-5D6E-409C-BE32-E72D297353CC}">
              <c16:uniqueId val="{00000002-A506-4A74-84E7-BBCB557FBEAC}"/>
            </c:ext>
          </c:extLst>
        </c:ser>
        <c:dLbls>
          <c:showLegendKey val="0"/>
          <c:showVal val="0"/>
          <c:showCatName val="0"/>
          <c:showSerName val="0"/>
          <c:showPercent val="0"/>
          <c:showBubbleSize val="0"/>
        </c:dLbls>
        <c:axId val="690844680"/>
        <c:axId val="690845008"/>
      </c:scatterChart>
      <c:valAx>
        <c:axId val="6908446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0845008"/>
        <c:crosses val="autoZero"/>
        <c:crossBetween val="midCat"/>
      </c:valAx>
      <c:valAx>
        <c:axId val="6908450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084468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Non-Trawl PSC</a:t>
            </a:r>
            <a:r>
              <a:rPr lang="en-US" baseline="0"/>
              <a:t> Limit</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'Alt2-3'!$G$31</c:f>
              <c:strCache>
                <c:ptCount val="1"/>
                <c:pt idx="0">
                  <c:v>PSC Limit with Element 6</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'Alt2-3'!$A$58:$A$78</c:f>
              <c:numCache>
                <c:formatCode>General</c:formatCode>
                <c:ptCount val="21"/>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numCache>
            </c:numRef>
          </c:xVal>
          <c:yVal>
            <c:numRef>
              <c:f>'Alt2-3'!$G$58:$G$78</c:f>
              <c:numCache>
                <c:formatCode>#,##0</c:formatCode>
                <c:ptCount val="21"/>
                <c:pt idx="0">
                  <c:v>894</c:v>
                </c:pt>
                <c:pt idx="1">
                  <c:v>894</c:v>
                </c:pt>
                <c:pt idx="2">
                  <c:v>894</c:v>
                </c:pt>
                <c:pt idx="3">
                  <c:v>894</c:v>
                </c:pt>
                <c:pt idx="4">
                  <c:v>894</c:v>
                </c:pt>
                <c:pt idx="5">
                  <c:v>894</c:v>
                </c:pt>
                <c:pt idx="6">
                  <c:v>894</c:v>
                </c:pt>
                <c:pt idx="7">
                  <c:v>894</c:v>
                </c:pt>
                <c:pt idx="8">
                  <c:v>894</c:v>
                </c:pt>
                <c:pt idx="9">
                  <c:v>894</c:v>
                </c:pt>
                <c:pt idx="10">
                  <c:v>894</c:v>
                </c:pt>
                <c:pt idx="11">
                  <c:v>894</c:v>
                </c:pt>
                <c:pt idx="12">
                  <c:v>894</c:v>
                </c:pt>
                <c:pt idx="13">
                  <c:v>861.92269990197462</c:v>
                </c:pt>
                <c:pt idx="14">
                  <c:v>835.47542361013859</c:v>
                </c:pt>
                <c:pt idx="15">
                  <c:v>794.31312141156707</c:v>
                </c:pt>
                <c:pt idx="16">
                  <c:v>794.90967651589403</c:v>
                </c:pt>
                <c:pt idx="17">
                  <c:v>808.33216636325437</c:v>
                </c:pt>
                <c:pt idx="18">
                  <c:v>778.10670774401342</c:v>
                </c:pt>
                <c:pt idx="19">
                  <c:v>720.83741772860947</c:v>
                </c:pt>
                <c:pt idx="20">
                  <c:v>710</c:v>
                </c:pt>
              </c:numCache>
            </c:numRef>
          </c:yVal>
          <c:smooth val="0"/>
          <c:extLst>
            <c:ext xmlns:c16="http://schemas.microsoft.com/office/drawing/2014/chart" uri="{C3380CC4-5D6E-409C-BE32-E72D297353CC}">
              <c16:uniqueId val="{00000000-EC44-4C7E-AF38-283DD01A8C1E}"/>
            </c:ext>
          </c:extLst>
        </c:ser>
        <c:ser>
          <c:idx val="1"/>
          <c:order val="1"/>
          <c:tx>
            <c:strRef>
              <c:f>'Alt2-3'!$O$31</c:f>
              <c:strCache>
                <c:ptCount val="1"/>
                <c:pt idx="0">
                  <c:v>Floor</c:v>
                </c:pt>
              </c:strCache>
            </c:strRef>
          </c:tx>
          <c:spPr>
            <a:ln w="19050" cap="rnd">
              <a:solidFill>
                <a:schemeClr val="accent3"/>
              </a:solidFill>
              <a:prstDash val="sysDot"/>
              <a:round/>
            </a:ln>
            <a:effectLst/>
          </c:spPr>
          <c:marker>
            <c:symbol val="none"/>
          </c:marker>
          <c:xVal>
            <c:numRef>
              <c:f>'Alt2-3'!$A$58:$A$78</c:f>
              <c:numCache>
                <c:formatCode>General</c:formatCode>
                <c:ptCount val="21"/>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numCache>
            </c:numRef>
          </c:xVal>
          <c:yVal>
            <c:numRef>
              <c:f>'Alt2-3'!$O$58:$O$78</c:f>
              <c:numCache>
                <c:formatCode>General</c:formatCode>
                <c:ptCount val="21"/>
                <c:pt idx="0">
                  <c:v>475</c:v>
                </c:pt>
                <c:pt idx="1">
                  <c:v>475</c:v>
                </c:pt>
                <c:pt idx="2">
                  <c:v>475</c:v>
                </c:pt>
                <c:pt idx="3">
                  <c:v>475</c:v>
                </c:pt>
                <c:pt idx="4">
                  <c:v>475</c:v>
                </c:pt>
                <c:pt idx="5">
                  <c:v>475</c:v>
                </c:pt>
                <c:pt idx="6">
                  <c:v>475</c:v>
                </c:pt>
                <c:pt idx="7">
                  <c:v>475</c:v>
                </c:pt>
                <c:pt idx="8">
                  <c:v>475</c:v>
                </c:pt>
                <c:pt idx="9">
                  <c:v>475</c:v>
                </c:pt>
                <c:pt idx="10">
                  <c:v>475</c:v>
                </c:pt>
                <c:pt idx="11">
                  <c:v>475</c:v>
                </c:pt>
                <c:pt idx="12">
                  <c:v>475</c:v>
                </c:pt>
                <c:pt idx="13">
                  <c:v>475</c:v>
                </c:pt>
                <c:pt idx="14">
                  <c:v>475</c:v>
                </c:pt>
                <c:pt idx="15">
                  <c:v>475</c:v>
                </c:pt>
                <c:pt idx="16">
                  <c:v>475</c:v>
                </c:pt>
                <c:pt idx="17">
                  <c:v>475</c:v>
                </c:pt>
                <c:pt idx="18">
                  <c:v>475</c:v>
                </c:pt>
                <c:pt idx="19">
                  <c:v>475</c:v>
                </c:pt>
                <c:pt idx="20">
                  <c:v>475</c:v>
                </c:pt>
              </c:numCache>
            </c:numRef>
          </c:yVal>
          <c:smooth val="0"/>
          <c:extLst>
            <c:ext xmlns:c16="http://schemas.microsoft.com/office/drawing/2014/chart" uri="{C3380CC4-5D6E-409C-BE32-E72D297353CC}">
              <c16:uniqueId val="{00000001-EC44-4C7E-AF38-283DD01A8C1E}"/>
            </c:ext>
          </c:extLst>
        </c:ser>
        <c:ser>
          <c:idx val="2"/>
          <c:order val="2"/>
          <c:tx>
            <c:strRef>
              <c:f>'Alt2-3'!$P$31</c:f>
              <c:strCache>
                <c:ptCount val="1"/>
                <c:pt idx="0">
                  <c:v>Ceiling</c:v>
                </c:pt>
              </c:strCache>
            </c:strRef>
          </c:tx>
          <c:spPr>
            <a:ln w="19050" cap="rnd">
              <a:solidFill>
                <a:schemeClr val="accent3"/>
              </a:solidFill>
              <a:prstDash val="sysDot"/>
              <a:round/>
            </a:ln>
            <a:effectLst/>
          </c:spPr>
          <c:marker>
            <c:symbol val="none"/>
          </c:marker>
          <c:xVal>
            <c:numRef>
              <c:f>'Alt2-3'!$A$58:$A$78</c:f>
              <c:numCache>
                <c:formatCode>General</c:formatCode>
                <c:ptCount val="21"/>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numCache>
            </c:numRef>
          </c:xVal>
          <c:yVal>
            <c:numRef>
              <c:f>'Alt2-3'!$P$58:$P$78</c:f>
              <c:numCache>
                <c:formatCode>General</c:formatCode>
                <c:ptCount val="21"/>
                <c:pt idx="0">
                  <c:v>894</c:v>
                </c:pt>
                <c:pt idx="1">
                  <c:v>894</c:v>
                </c:pt>
                <c:pt idx="2">
                  <c:v>894</c:v>
                </c:pt>
                <c:pt idx="3">
                  <c:v>894</c:v>
                </c:pt>
                <c:pt idx="4">
                  <c:v>894</c:v>
                </c:pt>
                <c:pt idx="5">
                  <c:v>894</c:v>
                </c:pt>
                <c:pt idx="6">
                  <c:v>894</c:v>
                </c:pt>
                <c:pt idx="7">
                  <c:v>894</c:v>
                </c:pt>
                <c:pt idx="8">
                  <c:v>894</c:v>
                </c:pt>
                <c:pt idx="9">
                  <c:v>894</c:v>
                </c:pt>
                <c:pt idx="10">
                  <c:v>894</c:v>
                </c:pt>
                <c:pt idx="11">
                  <c:v>894</c:v>
                </c:pt>
                <c:pt idx="12">
                  <c:v>894</c:v>
                </c:pt>
                <c:pt idx="13">
                  <c:v>894</c:v>
                </c:pt>
                <c:pt idx="14">
                  <c:v>894</c:v>
                </c:pt>
                <c:pt idx="15">
                  <c:v>894</c:v>
                </c:pt>
                <c:pt idx="16">
                  <c:v>894</c:v>
                </c:pt>
                <c:pt idx="17">
                  <c:v>894</c:v>
                </c:pt>
                <c:pt idx="18">
                  <c:v>894</c:v>
                </c:pt>
                <c:pt idx="19">
                  <c:v>894</c:v>
                </c:pt>
                <c:pt idx="20">
                  <c:v>894</c:v>
                </c:pt>
              </c:numCache>
            </c:numRef>
          </c:yVal>
          <c:smooth val="0"/>
          <c:extLst>
            <c:ext xmlns:c16="http://schemas.microsoft.com/office/drawing/2014/chart" uri="{C3380CC4-5D6E-409C-BE32-E72D297353CC}">
              <c16:uniqueId val="{00000002-EC44-4C7E-AF38-283DD01A8C1E}"/>
            </c:ext>
          </c:extLst>
        </c:ser>
        <c:dLbls>
          <c:showLegendKey val="0"/>
          <c:showVal val="0"/>
          <c:showCatName val="0"/>
          <c:showSerName val="0"/>
          <c:showPercent val="0"/>
          <c:showBubbleSize val="0"/>
        </c:dLbls>
        <c:axId val="690844680"/>
        <c:axId val="690845008"/>
      </c:scatterChart>
      <c:valAx>
        <c:axId val="6908446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0845008"/>
        <c:crosses val="autoZero"/>
        <c:crossBetween val="midCat"/>
      </c:valAx>
      <c:valAx>
        <c:axId val="690845008"/>
        <c:scaling>
          <c:orientation val="minMax"/>
          <c:max val="1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084468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Trawl PSC Limit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'Alt2-4'!$G$31</c:f>
              <c:strCache>
                <c:ptCount val="1"/>
                <c:pt idx="0">
                  <c:v>PSC Limit with Element 6</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'Alt2-4'!$A$32:$A$51</c:f>
              <c:numCache>
                <c:formatCode>General</c:formatCode>
                <c:ptCount val="20"/>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numCache>
            </c:numRef>
          </c:xVal>
          <c:yVal>
            <c:numRef>
              <c:f>'Alt2-4'!$G$32:$G$51</c:f>
              <c:numCache>
                <c:formatCode>#,##0</c:formatCode>
                <c:ptCount val="20"/>
                <c:pt idx="0">
                  <c:v>2805</c:v>
                </c:pt>
                <c:pt idx="1">
                  <c:v>2631.3275451617419</c:v>
                </c:pt>
                <c:pt idx="2">
                  <c:v>2631.5530037809831</c:v>
                </c:pt>
                <c:pt idx="3">
                  <c:v>2358.4098865705082</c:v>
                </c:pt>
                <c:pt idx="4">
                  <c:v>2169.4755636465479</c:v>
                </c:pt>
                <c:pt idx="5">
                  <c:v>2029.9166783363673</c:v>
                </c:pt>
                <c:pt idx="6">
                  <c:v>1930.8276151799469</c:v>
                </c:pt>
                <c:pt idx="7">
                  <c:v>1881.5649068757875</c:v>
                </c:pt>
                <c:pt idx="8">
                  <c:v>1909.972692900154</c:v>
                </c:pt>
                <c:pt idx="9">
                  <c:v>1895.4306119591095</c:v>
                </c:pt>
                <c:pt idx="10">
                  <c:v>1962.0536339448256</c:v>
                </c:pt>
                <c:pt idx="11">
                  <c:v>1913.58003080801</c:v>
                </c:pt>
                <c:pt idx="12">
                  <c:v>1836.0222657891052</c:v>
                </c:pt>
                <c:pt idx="13">
                  <c:v>1782.2503851001263</c:v>
                </c:pt>
                <c:pt idx="14">
                  <c:v>1752.2643887410729</c:v>
                </c:pt>
                <c:pt idx="15">
                  <c:v>1705.5944545581851</c:v>
                </c:pt>
                <c:pt idx="16">
                  <c:v>1706.270830415908</c:v>
                </c:pt>
                <c:pt idx="17">
                  <c:v>1721.4892872146759</c:v>
                </c:pt>
                <c:pt idx="18">
                  <c:v>1687.2195770900435</c:v>
                </c:pt>
                <c:pt idx="19">
                  <c:v>1622.2874947486346</c:v>
                </c:pt>
              </c:numCache>
            </c:numRef>
          </c:yVal>
          <c:smooth val="0"/>
          <c:extLst>
            <c:ext xmlns:c16="http://schemas.microsoft.com/office/drawing/2014/chart" uri="{C3380CC4-5D6E-409C-BE32-E72D297353CC}">
              <c16:uniqueId val="{00000000-48EE-4FCA-91EB-2B271358E77D}"/>
            </c:ext>
          </c:extLst>
        </c:ser>
        <c:ser>
          <c:idx val="1"/>
          <c:order val="1"/>
          <c:tx>
            <c:strRef>
              <c:f>'Alt2-4'!$O$31</c:f>
              <c:strCache>
                <c:ptCount val="1"/>
                <c:pt idx="0">
                  <c:v>Floor</c:v>
                </c:pt>
              </c:strCache>
            </c:strRef>
          </c:tx>
          <c:spPr>
            <a:ln w="19050" cap="rnd">
              <a:solidFill>
                <a:schemeClr val="bg1">
                  <a:lumMod val="65000"/>
                </a:schemeClr>
              </a:solidFill>
              <a:prstDash val="sysDot"/>
              <a:round/>
            </a:ln>
            <a:effectLst/>
          </c:spPr>
          <c:marker>
            <c:symbol val="none"/>
          </c:marker>
          <c:xVal>
            <c:numRef>
              <c:f>'Alt2-4'!$A$32:$A$51</c:f>
              <c:numCache>
                <c:formatCode>General</c:formatCode>
                <c:ptCount val="20"/>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numCache>
            </c:numRef>
          </c:xVal>
          <c:yVal>
            <c:numRef>
              <c:f>'Alt2-4'!$O$32:$O$51</c:f>
              <c:numCache>
                <c:formatCode>General</c:formatCode>
                <c:ptCount val="20"/>
                <c:pt idx="0">
                  <c:v>798</c:v>
                </c:pt>
                <c:pt idx="1">
                  <c:v>798</c:v>
                </c:pt>
                <c:pt idx="2">
                  <c:v>798</c:v>
                </c:pt>
                <c:pt idx="3">
                  <c:v>798</c:v>
                </c:pt>
                <c:pt idx="4">
                  <c:v>798</c:v>
                </c:pt>
                <c:pt idx="5">
                  <c:v>798</c:v>
                </c:pt>
                <c:pt idx="6">
                  <c:v>798</c:v>
                </c:pt>
                <c:pt idx="7">
                  <c:v>798</c:v>
                </c:pt>
                <c:pt idx="8">
                  <c:v>798</c:v>
                </c:pt>
                <c:pt idx="9">
                  <c:v>798</c:v>
                </c:pt>
                <c:pt idx="10">
                  <c:v>798</c:v>
                </c:pt>
                <c:pt idx="11">
                  <c:v>798</c:v>
                </c:pt>
                <c:pt idx="12">
                  <c:v>798</c:v>
                </c:pt>
                <c:pt idx="13">
                  <c:v>798</c:v>
                </c:pt>
                <c:pt idx="14">
                  <c:v>798</c:v>
                </c:pt>
                <c:pt idx="15">
                  <c:v>798</c:v>
                </c:pt>
                <c:pt idx="16">
                  <c:v>798</c:v>
                </c:pt>
                <c:pt idx="17">
                  <c:v>798</c:v>
                </c:pt>
                <c:pt idx="18">
                  <c:v>798</c:v>
                </c:pt>
                <c:pt idx="19">
                  <c:v>798</c:v>
                </c:pt>
              </c:numCache>
            </c:numRef>
          </c:yVal>
          <c:smooth val="0"/>
          <c:extLst>
            <c:ext xmlns:c16="http://schemas.microsoft.com/office/drawing/2014/chart" uri="{C3380CC4-5D6E-409C-BE32-E72D297353CC}">
              <c16:uniqueId val="{00000001-48EE-4FCA-91EB-2B271358E77D}"/>
            </c:ext>
          </c:extLst>
        </c:ser>
        <c:ser>
          <c:idx val="2"/>
          <c:order val="2"/>
          <c:tx>
            <c:strRef>
              <c:f>'Alt2-4'!$P$31</c:f>
              <c:strCache>
                <c:ptCount val="1"/>
                <c:pt idx="0">
                  <c:v>Ceiling</c:v>
                </c:pt>
              </c:strCache>
            </c:strRef>
          </c:tx>
          <c:spPr>
            <a:ln w="19050" cap="rnd">
              <a:solidFill>
                <a:schemeClr val="bg1">
                  <a:lumMod val="65000"/>
                </a:schemeClr>
              </a:solidFill>
              <a:prstDash val="sysDot"/>
              <a:round/>
            </a:ln>
            <a:effectLst/>
          </c:spPr>
          <c:marker>
            <c:symbol val="none"/>
          </c:marker>
          <c:xVal>
            <c:numRef>
              <c:f>'Alt2-4'!$A$32:$A$51</c:f>
              <c:numCache>
                <c:formatCode>General</c:formatCode>
                <c:ptCount val="20"/>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numCache>
            </c:numRef>
          </c:xVal>
          <c:yVal>
            <c:numRef>
              <c:f>'Alt2-4'!$P$32:$P$51</c:f>
              <c:numCache>
                <c:formatCode>General</c:formatCode>
                <c:ptCount val="20"/>
                <c:pt idx="0">
                  <c:v>2805</c:v>
                </c:pt>
                <c:pt idx="1">
                  <c:v>2805</c:v>
                </c:pt>
                <c:pt idx="2">
                  <c:v>2805</c:v>
                </c:pt>
                <c:pt idx="3">
                  <c:v>2805</c:v>
                </c:pt>
                <c:pt idx="4">
                  <c:v>2805</c:v>
                </c:pt>
                <c:pt idx="5">
                  <c:v>2805</c:v>
                </c:pt>
                <c:pt idx="6">
                  <c:v>2805</c:v>
                </c:pt>
                <c:pt idx="7">
                  <c:v>2805</c:v>
                </c:pt>
                <c:pt idx="8">
                  <c:v>2805</c:v>
                </c:pt>
                <c:pt idx="9">
                  <c:v>2805</c:v>
                </c:pt>
                <c:pt idx="10">
                  <c:v>2805</c:v>
                </c:pt>
                <c:pt idx="11">
                  <c:v>2805</c:v>
                </c:pt>
                <c:pt idx="12">
                  <c:v>2805</c:v>
                </c:pt>
                <c:pt idx="13">
                  <c:v>2805</c:v>
                </c:pt>
                <c:pt idx="14">
                  <c:v>2805</c:v>
                </c:pt>
                <c:pt idx="15">
                  <c:v>2805</c:v>
                </c:pt>
                <c:pt idx="16">
                  <c:v>2805</c:v>
                </c:pt>
                <c:pt idx="17">
                  <c:v>2805</c:v>
                </c:pt>
                <c:pt idx="18">
                  <c:v>2805</c:v>
                </c:pt>
                <c:pt idx="19">
                  <c:v>2805</c:v>
                </c:pt>
              </c:numCache>
            </c:numRef>
          </c:yVal>
          <c:smooth val="0"/>
          <c:extLst>
            <c:ext xmlns:c16="http://schemas.microsoft.com/office/drawing/2014/chart" uri="{C3380CC4-5D6E-409C-BE32-E72D297353CC}">
              <c16:uniqueId val="{00000002-48EE-4FCA-91EB-2B271358E77D}"/>
            </c:ext>
          </c:extLst>
        </c:ser>
        <c:dLbls>
          <c:showLegendKey val="0"/>
          <c:showVal val="0"/>
          <c:showCatName val="0"/>
          <c:showSerName val="0"/>
          <c:showPercent val="0"/>
          <c:showBubbleSize val="0"/>
        </c:dLbls>
        <c:axId val="690844680"/>
        <c:axId val="690845008"/>
      </c:scatterChart>
      <c:valAx>
        <c:axId val="6908446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0845008"/>
        <c:crosses val="autoZero"/>
        <c:crossBetween val="midCat"/>
      </c:valAx>
      <c:valAx>
        <c:axId val="6908450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084468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Non-Trawl PSC</a:t>
            </a:r>
            <a:r>
              <a:rPr lang="en-US" baseline="0"/>
              <a:t> Limit</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'Alt2-4'!$G$31</c:f>
              <c:strCache>
                <c:ptCount val="1"/>
                <c:pt idx="0">
                  <c:v>PSC Limit with Element 6</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'Alt2-4'!$A$58:$A$78</c:f>
              <c:numCache>
                <c:formatCode>General</c:formatCode>
                <c:ptCount val="21"/>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numCache>
            </c:numRef>
          </c:xVal>
          <c:yVal>
            <c:numRef>
              <c:f>'Alt2-4'!$G$58:$G$78</c:f>
              <c:numCache>
                <c:formatCode>#,##0</c:formatCode>
                <c:ptCount val="21"/>
                <c:pt idx="0">
                  <c:v>710</c:v>
                </c:pt>
                <c:pt idx="1">
                  <c:v>710</c:v>
                </c:pt>
                <c:pt idx="2">
                  <c:v>710</c:v>
                </c:pt>
                <c:pt idx="3">
                  <c:v>710</c:v>
                </c:pt>
                <c:pt idx="4">
                  <c:v>691.56028567427529</c:v>
                </c:pt>
                <c:pt idx="5">
                  <c:v>620.82733510712785</c:v>
                </c:pt>
                <c:pt idx="6">
                  <c:v>570.60579750735189</c:v>
                </c:pt>
                <c:pt idx="7">
                  <c:v>545.63786584511968</c:v>
                </c:pt>
                <c:pt idx="8">
                  <c:v>560.03584932082344</c:v>
                </c:pt>
                <c:pt idx="9">
                  <c:v>552.66545301778467</c:v>
                </c:pt>
                <c:pt idx="10">
                  <c:v>586.4321523596135</c:v>
                </c:pt>
                <c:pt idx="11">
                  <c:v>561.86416468281755</c:v>
                </c:pt>
                <c:pt idx="12">
                  <c:v>522.55538439994405</c:v>
                </c:pt>
                <c:pt idx="13">
                  <c:v>495.3020585352192</c:v>
                </c:pt>
                <c:pt idx="14">
                  <c:v>480.10418708864307</c:v>
                </c:pt>
                <c:pt idx="15">
                  <c:v>456.45035709284417</c:v>
                </c:pt>
                <c:pt idx="16">
                  <c:v>456.79316622321801</c:v>
                </c:pt>
                <c:pt idx="17">
                  <c:v>464.50637165663073</c:v>
                </c:pt>
                <c:pt idx="18">
                  <c:v>447.13737571768661</c:v>
                </c:pt>
                <c:pt idx="19">
                  <c:v>414.22769920179246</c:v>
                </c:pt>
                <c:pt idx="20">
                  <c:v>408</c:v>
                </c:pt>
              </c:numCache>
            </c:numRef>
          </c:yVal>
          <c:smooth val="0"/>
          <c:extLst>
            <c:ext xmlns:c16="http://schemas.microsoft.com/office/drawing/2014/chart" uri="{C3380CC4-5D6E-409C-BE32-E72D297353CC}">
              <c16:uniqueId val="{00000000-9EBA-469F-A5BB-A3377E4A743E}"/>
            </c:ext>
          </c:extLst>
        </c:ser>
        <c:ser>
          <c:idx val="1"/>
          <c:order val="1"/>
          <c:tx>
            <c:strRef>
              <c:f>'Alt2-4'!$O$31</c:f>
              <c:strCache>
                <c:ptCount val="1"/>
                <c:pt idx="0">
                  <c:v>Floor</c:v>
                </c:pt>
              </c:strCache>
            </c:strRef>
          </c:tx>
          <c:spPr>
            <a:ln w="19050" cap="rnd">
              <a:solidFill>
                <a:schemeClr val="accent3"/>
              </a:solidFill>
              <a:prstDash val="sysDot"/>
              <a:round/>
            </a:ln>
            <a:effectLst/>
          </c:spPr>
          <c:marker>
            <c:symbol val="none"/>
          </c:marker>
          <c:xVal>
            <c:numRef>
              <c:f>'Alt2-4'!$A$58:$A$78</c:f>
              <c:numCache>
                <c:formatCode>General</c:formatCode>
                <c:ptCount val="21"/>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numCache>
            </c:numRef>
          </c:xVal>
          <c:yVal>
            <c:numRef>
              <c:f>'Alt2-4'!$O$58:$O$78</c:f>
              <c:numCache>
                <c:formatCode>General</c:formatCode>
                <c:ptCount val="21"/>
                <c:pt idx="0">
                  <c:v>202</c:v>
                </c:pt>
                <c:pt idx="1">
                  <c:v>202</c:v>
                </c:pt>
                <c:pt idx="2">
                  <c:v>202</c:v>
                </c:pt>
                <c:pt idx="3">
                  <c:v>202</c:v>
                </c:pt>
                <c:pt idx="4">
                  <c:v>202</c:v>
                </c:pt>
                <c:pt idx="5">
                  <c:v>202</c:v>
                </c:pt>
                <c:pt idx="6">
                  <c:v>202</c:v>
                </c:pt>
                <c:pt idx="7">
                  <c:v>202</c:v>
                </c:pt>
                <c:pt idx="8">
                  <c:v>202</c:v>
                </c:pt>
                <c:pt idx="9">
                  <c:v>202</c:v>
                </c:pt>
                <c:pt idx="10">
                  <c:v>202</c:v>
                </c:pt>
                <c:pt idx="11">
                  <c:v>202</c:v>
                </c:pt>
                <c:pt idx="12">
                  <c:v>202</c:v>
                </c:pt>
                <c:pt idx="13">
                  <c:v>202</c:v>
                </c:pt>
                <c:pt idx="14">
                  <c:v>202</c:v>
                </c:pt>
                <c:pt idx="15">
                  <c:v>202</c:v>
                </c:pt>
                <c:pt idx="16">
                  <c:v>202</c:v>
                </c:pt>
                <c:pt idx="17">
                  <c:v>202</c:v>
                </c:pt>
                <c:pt idx="18">
                  <c:v>202</c:v>
                </c:pt>
                <c:pt idx="19">
                  <c:v>202</c:v>
                </c:pt>
                <c:pt idx="20">
                  <c:v>202</c:v>
                </c:pt>
              </c:numCache>
            </c:numRef>
          </c:yVal>
          <c:smooth val="0"/>
          <c:extLst>
            <c:ext xmlns:c16="http://schemas.microsoft.com/office/drawing/2014/chart" uri="{C3380CC4-5D6E-409C-BE32-E72D297353CC}">
              <c16:uniqueId val="{00000001-9EBA-469F-A5BB-A3377E4A743E}"/>
            </c:ext>
          </c:extLst>
        </c:ser>
        <c:ser>
          <c:idx val="2"/>
          <c:order val="2"/>
          <c:tx>
            <c:strRef>
              <c:f>'Alt2-4'!$P$31</c:f>
              <c:strCache>
                <c:ptCount val="1"/>
                <c:pt idx="0">
                  <c:v>Ceiling</c:v>
                </c:pt>
              </c:strCache>
            </c:strRef>
          </c:tx>
          <c:spPr>
            <a:ln w="19050" cap="rnd">
              <a:solidFill>
                <a:schemeClr val="accent3"/>
              </a:solidFill>
              <a:prstDash val="sysDot"/>
              <a:round/>
            </a:ln>
            <a:effectLst/>
          </c:spPr>
          <c:marker>
            <c:symbol val="none"/>
          </c:marker>
          <c:xVal>
            <c:numRef>
              <c:f>'Alt2-4'!$A$58:$A$78</c:f>
              <c:numCache>
                <c:formatCode>General</c:formatCode>
                <c:ptCount val="21"/>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numCache>
            </c:numRef>
          </c:xVal>
          <c:yVal>
            <c:numRef>
              <c:f>'Alt2-4'!$P$58:$P$78</c:f>
              <c:numCache>
                <c:formatCode>General</c:formatCode>
                <c:ptCount val="21"/>
                <c:pt idx="0">
                  <c:v>710</c:v>
                </c:pt>
                <c:pt idx="1">
                  <c:v>710</c:v>
                </c:pt>
                <c:pt idx="2">
                  <c:v>710</c:v>
                </c:pt>
                <c:pt idx="3">
                  <c:v>710</c:v>
                </c:pt>
                <c:pt idx="4">
                  <c:v>710</c:v>
                </c:pt>
                <c:pt idx="5">
                  <c:v>710</c:v>
                </c:pt>
                <c:pt idx="6">
                  <c:v>710</c:v>
                </c:pt>
                <c:pt idx="7">
                  <c:v>710</c:v>
                </c:pt>
                <c:pt idx="8">
                  <c:v>710</c:v>
                </c:pt>
                <c:pt idx="9">
                  <c:v>710</c:v>
                </c:pt>
                <c:pt idx="10">
                  <c:v>710</c:v>
                </c:pt>
                <c:pt idx="11">
                  <c:v>710</c:v>
                </c:pt>
                <c:pt idx="12">
                  <c:v>710</c:v>
                </c:pt>
                <c:pt idx="13">
                  <c:v>710</c:v>
                </c:pt>
                <c:pt idx="14">
                  <c:v>710</c:v>
                </c:pt>
                <c:pt idx="15">
                  <c:v>710</c:v>
                </c:pt>
                <c:pt idx="16">
                  <c:v>710</c:v>
                </c:pt>
                <c:pt idx="17">
                  <c:v>710</c:v>
                </c:pt>
                <c:pt idx="18">
                  <c:v>710</c:v>
                </c:pt>
                <c:pt idx="19">
                  <c:v>710</c:v>
                </c:pt>
                <c:pt idx="20">
                  <c:v>710</c:v>
                </c:pt>
              </c:numCache>
            </c:numRef>
          </c:yVal>
          <c:smooth val="0"/>
          <c:extLst>
            <c:ext xmlns:c16="http://schemas.microsoft.com/office/drawing/2014/chart" uri="{C3380CC4-5D6E-409C-BE32-E72D297353CC}">
              <c16:uniqueId val="{00000002-9EBA-469F-A5BB-A3377E4A743E}"/>
            </c:ext>
          </c:extLst>
        </c:ser>
        <c:dLbls>
          <c:showLegendKey val="0"/>
          <c:showVal val="0"/>
          <c:showCatName val="0"/>
          <c:showSerName val="0"/>
          <c:showPercent val="0"/>
          <c:showBubbleSize val="0"/>
        </c:dLbls>
        <c:axId val="690844680"/>
        <c:axId val="690845008"/>
      </c:scatterChart>
      <c:valAx>
        <c:axId val="6908446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0845008"/>
        <c:crosses val="autoZero"/>
        <c:crossBetween val="midCat"/>
      </c:valAx>
      <c:valAx>
        <c:axId val="690845008"/>
        <c:scaling>
          <c:orientation val="minMax"/>
          <c:max val="1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084468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8</xdr:col>
      <xdr:colOff>466725</xdr:colOff>
      <xdr:row>14</xdr:row>
      <xdr:rowOff>42862</xdr:rowOff>
    </xdr:from>
    <xdr:to>
      <xdr:col>15</xdr:col>
      <xdr:colOff>561975</xdr:colOff>
      <xdr:row>28</xdr:row>
      <xdr:rowOff>119062</xdr:rowOff>
    </xdr:to>
    <xdr:graphicFrame macro="">
      <xdr:nvGraphicFramePr>
        <xdr:cNvPr id="3" name="Chart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99484</xdr:colOff>
      <xdr:row>13</xdr:row>
      <xdr:rowOff>180181</xdr:rowOff>
    </xdr:from>
    <xdr:to>
      <xdr:col>4</xdr:col>
      <xdr:colOff>884503</xdr:colOff>
      <xdr:row>28</xdr:row>
      <xdr:rowOff>64558</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51595</xdr:colOff>
      <xdr:row>14</xdr:row>
      <xdr:rowOff>21167</xdr:rowOff>
    </xdr:from>
    <xdr:to>
      <xdr:col>10</xdr:col>
      <xdr:colOff>250561</xdr:colOff>
      <xdr:row>28</xdr:row>
      <xdr:rowOff>97367</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xdr:colOff>
      <xdr:row>14</xdr:row>
      <xdr:rowOff>66675</xdr:rowOff>
    </xdr:from>
    <xdr:to>
      <xdr:col>5</xdr:col>
      <xdr:colOff>51594</xdr:colOff>
      <xdr:row>28</xdr:row>
      <xdr:rowOff>141552</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171186</xdr:colOff>
      <xdr:row>14</xdr:row>
      <xdr:rowOff>98161</xdr:rowOff>
    </xdr:from>
    <xdr:to>
      <xdr:col>10</xdr:col>
      <xdr:colOff>210344</xdr:colOff>
      <xdr:row>28</xdr:row>
      <xdr:rowOff>174361</xdr:rowOff>
    </xdr:to>
    <xdr:graphicFrame macro="">
      <xdr:nvGraphicFramePr>
        <xdr:cNvPr id="3" name="Chart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78317</xdr:colOff>
      <xdr:row>13</xdr:row>
      <xdr:rowOff>169597</xdr:rowOff>
    </xdr:from>
    <xdr:to>
      <xdr:col>4</xdr:col>
      <xdr:colOff>863336</xdr:colOff>
      <xdr:row>28</xdr:row>
      <xdr:rowOff>53974</xdr:rowOff>
    </xdr:to>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41012</xdr:colOff>
      <xdr:row>14</xdr:row>
      <xdr:rowOff>2</xdr:rowOff>
    </xdr:from>
    <xdr:to>
      <xdr:col>10</xdr:col>
      <xdr:colOff>239978</xdr:colOff>
      <xdr:row>28</xdr:row>
      <xdr:rowOff>76202</xdr:rowOff>
    </xdr:to>
    <xdr:graphicFrame macro="">
      <xdr:nvGraphicFramePr>
        <xdr:cNvPr id="3" name="Chart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14818</xdr:colOff>
      <xdr:row>13</xdr:row>
      <xdr:rowOff>137848</xdr:rowOff>
    </xdr:from>
    <xdr:to>
      <xdr:col>4</xdr:col>
      <xdr:colOff>799837</xdr:colOff>
      <xdr:row>28</xdr:row>
      <xdr:rowOff>22225</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887679</xdr:colOff>
      <xdr:row>13</xdr:row>
      <xdr:rowOff>148167</xdr:rowOff>
    </xdr:from>
    <xdr:to>
      <xdr:col>10</xdr:col>
      <xdr:colOff>134145</xdr:colOff>
      <xdr:row>28</xdr:row>
      <xdr:rowOff>33867</xdr:rowOff>
    </xdr:to>
    <xdr:graphicFrame macro="">
      <xdr:nvGraphicFramePr>
        <xdr:cNvPr id="3" name="Chart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14817</xdr:colOff>
      <xdr:row>13</xdr:row>
      <xdr:rowOff>127264</xdr:rowOff>
    </xdr:from>
    <xdr:to>
      <xdr:col>4</xdr:col>
      <xdr:colOff>799836</xdr:colOff>
      <xdr:row>28</xdr:row>
      <xdr:rowOff>11641</xdr:rowOff>
    </xdr:to>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845346</xdr:colOff>
      <xdr:row>13</xdr:row>
      <xdr:rowOff>127000</xdr:rowOff>
    </xdr:from>
    <xdr:to>
      <xdr:col>10</xdr:col>
      <xdr:colOff>91812</xdr:colOff>
      <xdr:row>28</xdr:row>
      <xdr:rowOff>12700</xdr:rowOff>
    </xdr:to>
    <xdr:graphicFrame macro="">
      <xdr:nvGraphicFramePr>
        <xdr:cNvPr id="3" name="Chart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44054</xdr:colOff>
      <xdr:row>13</xdr:row>
      <xdr:rowOff>135732</xdr:rowOff>
    </xdr:from>
    <xdr:to>
      <xdr:col>5</xdr:col>
      <xdr:colOff>581025</xdr:colOff>
      <xdr:row>28</xdr:row>
      <xdr:rowOff>33337</xdr:rowOff>
    </xdr:to>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14</xdr:row>
      <xdr:rowOff>0</xdr:rowOff>
    </xdr:from>
    <xdr:to>
      <xdr:col>11</xdr:col>
      <xdr:colOff>546496</xdr:colOff>
      <xdr:row>28</xdr:row>
      <xdr:rowOff>78580</xdr:rowOff>
    </xdr:to>
    <xdr:graphicFrame macro="">
      <xdr:nvGraphicFramePr>
        <xdr:cNvPr id="3" name="Chart 2">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25400</xdr:colOff>
      <xdr:row>13</xdr:row>
      <xdr:rowOff>137846</xdr:rowOff>
    </xdr:from>
    <xdr:to>
      <xdr:col>4</xdr:col>
      <xdr:colOff>810419</xdr:colOff>
      <xdr:row>28</xdr:row>
      <xdr:rowOff>22223</xdr:rowOff>
    </xdr:to>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855929</xdr:colOff>
      <xdr:row>13</xdr:row>
      <xdr:rowOff>148167</xdr:rowOff>
    </xdr:from>
    <xdr:to>
      <xdr:col>10</xdr:col>
      <xdr:colOff>102395</xdr:colOff>
      <xdr:row>28</xdr:row>
      <xdr:rowOff>33867</xdr:rowOff>
    </xdr:to>
    <xdr:graphicFrame macro="">
      <xdr:nvGraphicFramePr>
        <xdr:cNvPr id="3" name="Chart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9"/>
  <sheetViews>
    <sheetView tabSelected="1" workbookViewId="0">
      <selection activeCell="C4" sqref="C4"/>
    </sheetView>
  </sheetViews>
  <sheetFormatPr defaultRowHeight="15" x14ac:dyDescent="0.25"/>
  <cols>
    <col min="1" max="1" width="15.42578125" customWidth="1"/>
    <col min="3" max="3" width="10.5703125" bestFit="1" customWidth="1"/>
    <col min="4" max="4" width="12.140625" bestFit="1" customWidth="1"/>
    <col min="5" max="5" width="11.5703125" bestFit="1" customWidth="1"/>
    <col min="6" max="6" width="9.42578125" customWidth="1"/>
    <col min="8" max="8" width="10.5703125" bestFit="1" customWidth="1"/>
    <col min="9" max="9" width="27.28515625" bestFit="1" customWidth="1"/>
    <col min="10" max="10" width="13.85546875" customWidth="1"/>
    <col min="11" max="11" width="13" customWidth="1"/>
  </cols>
  <sheetData>
    <row r="1" spans="1:2" x14ac:dyDescent="0.25">
      <c r="A1" s="109" t="s">
        <v>145</v>
      </c>
    </row>
    <row r="2" spans="1:2" x14ac:dyDescent="0.25">
      <c r="A2" t="s">
        <v>69</v>
      </c>
    </row>
    <row r="5" spans="1:2" x14ac:dyDescent="0.25">
      <c r="A5" s="109" t="s">
        <v>70</v>
      </c>
      <c r="B5" t="s">
        <v>71</v>
      </c>
    </row>
    <row r="6" spans="1:2" x14ac:dyDescent="0.25">
      <c r="A6" s="109" t="s">
        <v>72</v>
      </c>
      <c r="B6" t="s">
        <v>76</v>
      </c>
    </row>
    <row r="7" spans="1:2" x14ac:dyDescent="0.25">
      <c r="A7" s="109" t="s">
        <v>4</v>
      </c>
      <c r="B7" t="s">
        <v>77</v>
      </c>
    </row>
    <row r="8" spans="1:2" x14ac:dyDescent="0.25">
      <c r="A8" s="109" t="s">
        <v>6</v>
      </c>
      <c r="B8" t="s">
        <v>78</v>
      </c>
    </row>
    <row r="9" spans="1:2" x14ac:dyDescent="0.25">
      <c r="A9" s="109" t="s">
        <v>73</v>
      </c>
      <c r="B9" t="s">
        <v>79</v>
      </c>
    </row>
    <row r="10" spans="1:2" x14ac:dyDescent="0.25">
      <c r="A10" s="109" t="s">
        <v>74</v>
      </c>
      <c r="B10" t="s">
        <v>98</v>
      </c>
    </row>
    <row r="11" spans="1:2" x14ac:dyDescent="0.25">
      <c r="A11" s="109" t="s">
        <v>75</v>
      </c>
      <c r="B11" t="s">
        <v>80</v>
      </c>
    </row>
    <row r="12" spans="1:2" x14ac:dyDescent="0.25">
      <c r="A12" s="109" t="s">
        <v>81</v>
      </c>
      <c r="B12" t="s">
        <v>82</v>
      </c>
    </row>
    <row r="15" spans="1:2" x14ac:dyDescent="0.25">
      <c r="A15" s="3" t="s">
        <v>15</v>
      </c>
    </row>
    <row r="17" spans="1:11" x14ac:dyDescent="0.25">
      <c r="A17" s="3" t="s">
        <v>99</v>
      </c>
      <c r="B17" s="2"/>
    </row>
    <row r="18" spans="1:11" x14ac:dyDescent="0.25">
      <c r="A18" s="3"/>
      <c r="B18" s="2"/>
    </row>
    <row r="19" spans="1:11" x14ac:dyDescent="0.25">
      <c r="A19" s="3"/>
      <c r="B19" s="3"/>
    </row>
    <row r="20" spans="1:11" ht="116.65" customHeight="1" thickBot="1" x14ac:dyDescent="0.3">
      <c r="A20" s="161" t="s">
        <v>100</v>
      </c>
      <c r="B20" s="164" t="s">
        <v>101</v>
      </c>
      <c r="C20" s="164"/>
      <c r="D20" s="164"/>
      <c r="E20" s="164"/>
      <c r="F20" s="164"/>
      <c r="G20" s="164"/>
      <c r="H20" s="164"/>
      <c r="I20" s="164"/>
      <c r="J20" s="164"/>
      <c r="K20" s="164"/>
    </row>
    <row r="21" spans="1:11" x14ac:dyDescent="0.25">
      <c r="A21" s="147"/>
      <c r="B21" s="148"/>
      <c r="C21" s="148"/>
      <c r="D21" s="148"/>
      <c r="E21" s="162" t="s">
        <v>102</v>
      </c>
      <c r="F21" s="162"/>
      <c r="G21" s="162"/>
      <c r="H21" s="162"/>
      <c r="I21" s="162"/>
      <c r="J21" s="162"/>
      <c r="K21" s="163"/>
    </row>
    <row r="22" spans="1:11" x14ac:dyDescent="0.25">
      <c r="A22" s="149"/>
      <c r="B22" s="65"/>
      <c r="C22" s="65" t="s">
        <v>103</v>
      </c>
      <c r="D22" s="65"/>
      <c r="E22" s="65">
        <v>1</v>
      </c>
      <c r="F22" s="65">
        <v>2</v>
      </c>
      <c r="G22" s="65">
        <v>3</v>
      </c>
      <c r="H22" s="65">
        <v>4</v>
      </c>
      <c r="I22" s="65">
        <v>5</v>
      </c>
      <c r="J22" s="65">
        <v>6</v>
      </c>
      <c r="K22" s="83">
        <v>7</v>
      </c>
    </row>
    <row r="23" spans="1:11" x14ac:dyDescent="0.25">
      <c r="A23" s="150" t="s">
        <v>43</v>
      </c>
      <c r="B23" s="146" t="s">
        <v>104</v>
      </c>
      <c r="C23" s="146" t="s">
        <v>105</v>
      </c>
      <c r="D23" s="146" t="s">
        <v>106</v>
      </c>
      <c r="E23" s="146" t="s">
        <v>2</v>
      </c>
      <c r="F23" s="146" t="s">
        <v>4</v>
      </c>
      <c r="G23" s="146" t="s">
        <v>6</v>
      </c>
      <c r="H23" s="146" t="s">
        <v>107</v>
      </c>
      <c r="I23" s="146" t="s">
        <v>108</v>
      </c>
      <c r="J23" s="146" t="s">
        <v>75</v>
      </c>
      <c r="K23" s="151" t="s">
        <v>109</v>
      </c>
    </row>
    <row r="24" spans="1:11" x14ac:dyDescent="0.25">
      <c r="A24" s="149">
        <v>1</v>
      </c>
      <c r="B24" s="152" t="s">
        <v>110</v>
      </c>
      <c r="C24" s="152" t="s">
        <v>54</v>
      </c>
      <c r="D24" s="152" t="s">
        <v>54</v>
      </c>
      <c r="E24" s="153">
        <v>3515</v>
      </c>
      <c r="F24" s="152"/>
      <c r="G24" s="152"/>
      <c r="H24" s="152"/>
      <c r="I24" s="152"/>
      <c r="J24" s="152"/>
      <c r="K24" s="154"/>
    </row>
    <row r="25" spans="1:11" x14ac:dyDescent="0.25">
      <c r="A25" s="149">
        <v>2.1</v>
      </c>
      <c r="B25" s="152" t="s">
        <v>111</v>
      </c>
      <c r="C25" s="152" t="s">
        <v>112</v>
      </c>
      <c r="D25" s="152" t="s">
        <v>54</v>
      </c>
      <c r="E25" s="153">
        <v>3515</v>
      </c>
      <c r="F25" s="153">
        <v>4426</v>
      </c>
      <c r="G25" s="153">
        <v>1758</v>
      </c>
      <c r="H25" s="152" t="s">
        <v>113</v>
      </c>
      <c r="I25" s="155">
        <v>4.2361111111111106E-2</v>
      </c>
      <c r="J25" s="152" t="s">
        <v>114</v>
      </c>
      <c r="K25" s="154" t="s">
        <v>115</v>
      </c>
    </row>
    <row r="26" spans="1:11" x14ac:dyDescent="0.25">
      <c r="A26" s="149" t="s">
        <v>116</v>
      </c>
      <c r="B26" s="152" t="s">
        <v>111</v>
      </c>
      <c r="C26" s="152" t="s">
        <v>112</v>
      </c>
      <c r="D26" s="152" t="s">
        <v>54</v>
      </c>
      <c r="E26" s="153">
        <v>3515</v>
      </c>
      <c r="F26" s="153">
        <v>4426</v>
      </c>
      <c r="G26" s="153">
        <v>1758</v>
      </c>
      <c r="H26" s="152" t="s">
        <v>113</v>
      </c>
      <c r="I26" s="155">
        <v>4.2361111111111106E-2</v>
      </c>
      <c r="J26" s="152" t="s">
        <v>113</v>
      </c>
      <c r="K26" s="154" t="s">
        <v>115</v>
      </c>
    </row>
    <row r="27" spans="1:11" x14ac:dyDescent="0.25">
      <c r="A27" s="149" t="s">
        <v>117</v>
      </c>
      <c r="B27" s="152" t="s">
        <v>118</v>
      </c>
      <c r="C27" s="152" t="s">
        <v>112</v>
      </c>
      <c r="D27" s="152" t="s">
        <v>54</v>
      </c>
      <c r="E27" s="153">
        <v>1958</v>
      </c>
      <c r="F27" s="153">
        <v>4426</v>
      </c>
      <c r="G27" s="153">
        <v>1758</v>
      </c>
      <c r="H27" s="152" t="s">
        <v>113</v>
      </c>
      <c r="I27" s="155">
        <v>4.2361111111111106E-2</v>
      </c>
      <c r="J27" s="152" t="s">
        <v>114</v>
      </c>
      <c r="K27" s="154" t="s">
        <v>115</v>
      </c>
    </row>
    <row r="28" spans="1:11" x14ac:dyDescent="0.25">
      <c r="A28" s="156">
        <v>43498</v>
      </c>
      <c r="B28" s="152" t="s">
        <v>119</v>
      </c>
      <c r="C28" s="152" t="s">
        <v>120</v>
      </c>
      <c r="D28" s="152" t="s">
        <v>54</v>
      </c>
      <c r="E28" s="153">
        <v>3515</v>
      </c>
      <c r="F28" s="153">
        <v>4426</v>
      </c>
      <c r="G28" s="153">
        <v>2354</v>
      </c>
      <c r="H28" s="152" t="s">
        <v>121</v>
      </c>
      <c r="I28" s="152" t="s">
        <v>122</v>
      </c>
      <c r="J28" s="152" t="s">
        <v>123</v>
      </c>
      <c r="K28" s="154" t="s">
        <v>115</v>
      </c>
    </row>
    <row r="29" spans="1:11" x14ac:dyDescent="0.25">
      <c r="A29" s="156">
        <v>43499</v>
      </c>
      <c r="B29" s="152" t="s">
        <v>119</v>
      </c>
      <c r="C29" s="152" t="s">
        <v>120</v>
      </c>
      <c r="D29" s="152" t="s">
        <v>54</v>
      </c>
      <c r="E29" s="153">
        <v>3515</v>
      </c>
      <c r="F29" s="153">
        <v>4426</v>
      </c>
      <c r="G29" s="153">
        <v>2354</v>
      </c>
      <c r="H29" s="152" t="s">
        <v>113</v>
      </c>
      <c r="I29" s="155">
        <v>4.2361111111111106E-2</v>
      </c>
      <c r="J29" s="152" t="s">
        <v>114</v>
      </c>
      <c r="K29" s="154" t="s">
        <v>115</v>
      </c>
    </row>
    <row r="30" spans="1:11" x14ac:dyDescent="0.25">
      <c r="A30" s="156">
        <v>43500</v>
      </c>
      <c r="B30" s="152" t="s">
        <v>119</v>
      </c>
      <c r="C30" s="152" t="s">
        <v>112</v>
      </c>
      <c r="D30" s="152" t="s">
        <v>54</v>
      </c>
      <c r="E30" s="153">
        <v>2018</v>
      </c>
      <c r="F30" s="153">
        <v>3515</v>
      </c>
      <c r="G30" s="153">
        <v>1000</v>
      </c>
      <c r="H30" s="152" t="s">
        <v>124</v>
      </c>
      <c r="I30" s="152" t="s">
        <v>125</v>
      </c>
      <c r="J30" s="152" t="s">
        <v>114</v>
      </c>
      <c r="K30" s="154" t="s">
        <v>115</v>
      </c>
    </row>
    <row r="31" spans="1:11" x14ac:dyDescent="0.25">
      <c r="A31" s="156">
        <v>43525</v>
      </c>
      <c r="B31" s="152" t="s">
        <v>111</v>
      </c>
      <c r="C31" s="152" t="s">
        <v>112</v>
      </c>
      <c r="D31" s="152" t="s">
        <v>126</v>
      </c>
      <c r="E31" s="153">
        <v>3515</v>
      </c>
      <c r="F31" s="153">
        <v>4426</v>
      </c>
      <c r="G31" s="153">
        <v>1758</v>
      </c>
      <c r="H31" s="152" t="s">
        <v>127</v>
      </c>
      <c r="I31" s="155">
        <v>4.2361111111111106E-2</v>
      </c>
      <c r="J31" s="152" t="s">
        <v>114</v>
      </c>
      <c r="K31" s="154" t="s">
        <v>115</v>
      </c>
    </row>
    <row r="32" spans="1:11" x14ac:dyDescent="0.25">
      <c r="A32" s="149" t="s">
        <v>128</v>
      </c>
      <c r="B32" s="152" t="s">
        <v>111</v>
      </c>
      <c r="C32" s="152" t="s">
        <v>112</v>
      </c>
      <c r="D32" s="152" t="s">
        <v>126</v>
      </c>
      <c r="E32" s="153">
        <v>3515</v>
      </c>
      <c r="F32" s="153">
        <v>4426</v>
      </c>
      <c r="G32" s="153">
        <v>1758</v>
      </c>
      <c r="H32" s="152" t="s">
        <v>127</v>
      </c>
      <c r="I32" s="155">
        <v>4.2361111111111106E-2</v>
      </c>
      <c r="J32" s="152" t="s">
        <v>113</v>
      </c>
      <c r="K32" s="154" t="s">
        <v>115</v>
      </c>
    </row>
    <row r="33" spans="1:11" x14ac:dyDescent="0.25">
      <c r="A33" s="149" t="s">
        <v>129</v>
      </c>
      <c r="B33" s="152" t="s">
        <v>111</v>
      </c>
      <c r="C33" s="152" t="s">
        <v>112</v>
      </c>
      <c r="D33" s="152" t="s">
        <v>126</v>
      </c>
      <c r="E33" s="153">
        <v>3515</v>
      </c>
      <c r="F33" s="153">
        <v>4426</v>
      </c>
      <c r="G33" s="153">
        <v>1758</v>
      </c>
      <c r="H33" s="152" t="s">
        <v>127</v>
      </c>
      <c r="I33" s="152" t="s">
        <v>144</v>
      </c>
      <c r="J33" s="152" t="s">
        <v>114</v>
      </c>
      <c r="K33" s="154" t="s">
        <v>115</v>
      </c>
    </row>
    <row r="34" spans="1:11" x14ac:dyDescent="0.25">
      <c r="A34" s="149" t="s">
        <v>130</v>
      </c>
      <c r="B34" s="152" t="s">
        <v>111</v>
      </c>
      <c r="C34" s="152" t="s">
        <v>112</v>
      </c>
      <c r="D34" s="152" t="s">
        <v>126</v>
      </c>
      <c r="E34" s="153">
        <v>3515</v>
      </c>
      <c r="F34" s="153">
        <v>4426</v>
      </c>
      <c r="G34" s="153">
        <v>1758</v>
      </c>
      <c r="H34" s="152" t="s">
        <v>127</v>
      </c>
      <c r="I34" s="155">
        <v>4.2361111111111106E-2</v>
      </c>
      <c r="J34" s="152" t="s">
        <v>114</v>
      </c>
      <c r="K34" s="154" t="s">
        <v>131</v>
      </c>
    </row>
    <row r="35" spans="1:11" x14ac:dyDescent="0.25">
      <c r="A35" s="149" t="s">
        <v>132</v>
      </c>
      <c r="B35" s="152" t="s">
        <v>118</v>
      </c>
      <c r="C35" s="152" t="s">
        <v>112</v>
      </c>
      <c r="D35" s="152" t="s">
        <v>126</v>
      </c>
      <c r="E35" s="153">
        <v>1958</v>
      </c>
      <c r="F35" s="153">
        <v>4426</v>
      </c>
      <c r="G35" s="153">
        <v>1758</v>
      </c>
      <c r="H35" s="152" t="s">
        <v>127</v>
      </c>
      <c r="I35" s="155">
        <v>4.2361111111111106E-2</v>
      </c>
      <c r="J35" s="152" t="s">
        <v>114</v>
      </c>
      <c r="K35" s="154" t="s">
        <v>115</v>
      </c>
    </row>
    <row r="36" spans="1:11" x14ac:dyDescent="0.25">
      <c r="A36" s="149" t="s">
        <v>133</v>
      </c>
      <c r="B36" s="152" t="s">
        <v>119</v>
      </c>
      <c r="C36" s="152" t="s">
        <v>134</v>
      </c>
      <c r="D36" s="152" t="s">
        <v>126</v>
      </c>
      <c r="E36" s="153">
        <v>2941</v>
      </c>
      <c r="F36" s="153">
        <v>4124</v>
      </c>
      <c r="G36" s="153">
        <v>1758</v>
      </c>
      <c r="H36" s="152" t="s">
        <v>113</v>
      </c>
      <c r="I36" s="152" t="s">
        <v>135</v>
      </c>
      <c r="J36" s="152" t="s">
        <v>114</v>
      </c>
      <c r="K36" s="154" t="s">
        <v>131</v>
      </c>
    </row>
    <row r="37" spans="1:11" x14ac:dyDescent="0.25">
      <c r="A37" s="149" t="s">
        <v>136</v>
      </c>
      <c r="B37" s="152" t="s">
        <v>111</v>
      </c>
      <c r="C37" s="152" t="s">
        <v>134</v>
      </c>
      <c r="D37" s="152" t="s">
        <v>126</v>
      </c>
      <c r="E37" s="153">
        <v>2941</v>
      </c>
      <c r="F37" s="153">
        <v>4124</v>
      </c>
      <c r="G37" s="153">
        <v>1758</v>
      </c>
      <c r="H37" s="152" t="s">
        <v>113</v>
      </c>
      <c r="I37" s="155">
        <v>4.2361111111111106E-2</v>
      </c>
      <c r="J37" s="152" t="s">
        <v>114</v>
      </c>
      <c r="K37" s="154" t="s">
        <v>131</v>
      </c>
    </row>
    <row r="38" spans="1:11" x14ac:dyDescent="0.25">
      <c r="A38" s="149" t="s">
        <v>97</v>
      </c>
      <c r="B38" s="152" t="s">
        <v>119</v>
      </c>
      <c r="C38" s="152" t="s">
        <v>137</v>
      </c>
      <c r="D38" s="152" t="s">
        <v>138</v>
      </c>
      <c r="E38" s="153">
        <v>1958</v>
      </c>
      <c r="F38" s="153">
        <v>3515</v>
      </c>
      <c r="G38" s="153">
        <v>1000</v>
      </c>
      <c r="H38" s="152" t="s">
        <v>139</v>
      </c>
      <c r="I38" s="152" t="s">
        <v>140</v>
      </c>
      <c r="J38" s="152" t="s">
        <v>141</v>
      </c>
      <c r="K38" s="154" t="s">
        <v>115</v>
      </c>
    </row>
    <row r="39" spans="1:11" ht="15.75" thickBot="1" x14ac:dyDescent="0.3">
      <c r="A39" s="157" t="s">
        <v>142</v>
      </c>
      <c r="B39" s="158" t="s">
        <v>111</v>
      </c>
      <c r="C39" s="158" t="s">
        <v>20</v>
      </c>
      <c r="D39" s="158" t="s">
        <v>143</v>
      </c>
      <c r="E39" s="159">
        <v>1958</v>
      </c>
      <c r="F39" s="159">
        <v>3515</v>
      </c>
      <c r="G39" s="159">
        <v>1000</v>
      </c>
      <c r="H39" s="158" t="s">
        <v>139</v>
      </c>
      <c r="I39" s="158" t="s">
        <v>140</v>
      </c>
      <c r="J39" s="158" t="s">
        <v>141</v>
      </c>
      <c r="K39" s="160" t="s">
        <v>115</v>
      </c>
    </row>
  </sheetData>
  <mergeCells count="2">
    <mergeCell ref="E21:K21"/>
    <mergeCell ref="B20:K20"/>
  </mergeCell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80"/>
  <sheetViews>
    <sheetView topLeftCell="A27" zoomScale="90" zoomScaleNormal="90" workbookViewId="0">
      <selection activeCell="L13" sqref="L13"/>
    </sheetView>
  </sheetViews>
  <sheetFormatPr defaultRowHeight="15" x14ac:dyDescent="0.25"/>
  <cols>
    <col min="1" max="1" width="14.28515625" style="3" customWidth="1"/>
    <col min="2" max="8" width="14.28515625" style="2" customWidth="1"/>
    <col min="9" max="9" width="12.28515625" style="2" customWidth="1"/>
    <col min="10" max="10" width="11" customWidth="1"/>
    <col min="11" max="11" width="13.28515625" customWidth="1"/>
    <col min="12" max="12" width="16.28515625" customWidth="1"/>
  </cols>
  <sheetData>
    <row r="1" spans="1:11" x14ac:dyDescent="0.25">
      <c r="A1" s="66" t="s">
        <v>50</v>
      </c>
      <c r="B1" s="63" t="s">
        <v>23</v>
      </c>
      <c r="C1" s="64" t="s">
        <v>66</v>
      </c>
      <c r="E1" s="92"/>
      <c r="F1" s="46" t="s">
        <v>1</v>
      </c>
      <c r="G1" s="46" t="s">
        <v>3</v>
      </c>
      <c r="H1" s="93" t="s">
        <v>5</v>
      </c>
      <c r="J1" s="3"/>
      <c r="K1" s="2"/>
    </row>
    <row r="2" spans="1:11" x14ac:dyDescent="0.25">
      <c r="A2" s="67" t="s">
        <v>20</v>
      </c>
      <c r="B2" s="96" t="s">
        <v>21</v>
      </c>
      <c r="C2" s="97" t="str">
        <f>IF(B2="Trawl","Setline","Trawl")</f>
        <v>Trawl</v>
      </c>
      <c r="E2" s="43" t="s">
        <v>64</v>
      </c>
      <c r="F2" s="39" t="s">
        <v>2</v>
      </c>
      <c r="G2" s="39" t="s">
        <v>4</v>
      </c>
      <c r="H2" s="42" t="s">
        <v>6</v>
      </c>
      <c r="J2" s="3"/>
      <c r="K2" s="2"/>
    </row>
    <row r="3" spans="1:11" x14ac:dyDescent="0.25">
      <c r="A3" s="68" t="s">
        <v>49</v>
      </c>
      <c r="B3" s="98" t="s">
        <v>21</v>
      </c>
      <c r="C3" s="99" t="str">
        <f>IF(B3="Trawl","Setline","Trawl")</f>
        <v>Trawl</v>
      </c>
      <c r="E3" s="44" t="s">
        <v>20</v>
      </c>
      <c r="F3" s="40">
        <v>1563</v>
      </c>
      <c r="G3" s="40">
        <v>2805</v>
      </c>
      <c r="H3" s="35">
        <v>798</v>
      </c>
      <c r="J3" s="3"/>
      <c r="K3" s="2"/>
    </row>
    <row r="4" spans="1:11" x14ac:dyDescent="0.25">
      <c r="A4" s="10"/>
      <c r="B4"/>
      <c r="C4"/>
      <c r="E4" s="45" t="s">
        <v>49</v>
      </c>
      <c r="F4" s="41">
        <v>395</v>
      </c>
      <c r="G4" s="40">
        <v>710</v>
      </c>
      <c r="H4" s="35">
        <v>202</v>
      </c>
      <c r="I4"/>
      <c r="J4" s="3"/>
      <c r="K4" s="3"/>
    </row>
    <row r="5" spans="1:11" x14ac:dyDescent="0.25">
      <c r="A5"/>
      <c r="B5"/>
      <c r="C5"/>
      <c r="D5"/>
      <c r="E5" s="70" t="s">
        <v>58</v>
      </c>
      <c r="F5" s="50">
        <f>SUM(F3:F4)</f>
        <v>1958</v>
      </c>
      <c r="G5" s="51">
        <f>SUM(G3:G4)</f>
        <v>3515</v>
      </c>
      <c r="H5" s="52">
        <f>SUM(H3:H4)</f>
        <v>1000</v>
      </c>
      <c r="I5"/>
    </row>
    <row r="6" spans="1:11" x14ac:dyDescent="0.25">
      <c r="A6" s="177" t="s">
        <v>16</v>
      </c>
      <c r="B6" s="178"/>
      <c r="C6"/>
      <c r="D6"/>
      <c r="E6"/>
      <c r="F6"/>
      <c r="G6"/>
      <c r="H6"/>
      <c r="I6"/>
    </row>
    <row r="7" spans="1:11" x14ac:dyDescent="0.25">
      <c r="A7" s="71" t="s">
        <v>9</v>
      </c>
      <c r="B7" s="35">
        <v>1</v>
      </c>
      <c r="C7"/>
      <c r="D7" s="177" t="s">
        <v>17</v>
      </c>
      <c r="E7" s="178"/>
      <c r="F7"/>
      <c r="G7" s="179" t="s">
        <v>63</v>
      </c>
      <c r="H7" s="180"/>
      <c r="I7"/>
    </row>
    <row r="8" spans="1:11" x14ac:dyDescent="0.25">
      <c r="A8" s="72" t="s">
        <v>10</v>
      </c>
      <c r="B8" s="36">
        <v>1</v>
      </c>
      <c r="C8"/>
      <c r="D8" s="94" t="s">
        <v>61</v>
      </c>
      <c r="E8" s="35">
        <v>0.35</v>
      </c>
      <c r="F8"/>
      <c r="G8" s="73" t="s">
        <v>59</v>
      </c>
      <c r="H8" s="75">
        <v>0.2</v>
      </c>
      <c r="I8"/>
    </row>
    <row r="9" spans="1:11" x14ac:dyDescent="0.25">
      <c r="A9"/>
      <c r="B9"/>
      <c r="C9"/>
      <c r="D9" s="95" t="s">
        <v>62</v>
      </c>
      <c r="E9" s="36">
        <v>0.35</v>
      </c>
      <c r="F9"/>
      <c r="G9" s="74" t="s">
        <v>60</v>
      </c>
      <c r="H9" s="76">
        <v>0.2</v>
      </c>
      <c r="I9"/>
    </row>
    <row r="10" spans="1:11" ht="15" customHeight="1" x14ac:dyDescent="0.25">
      <c r="A10" s="172" t="s">
        <v>65</v>
      </c>
      <c r="B10" s="173"/>
      <c r="C10" s="174"/>
      <c r="I10"/>
    </row>
    <row r="11" spans="1:11" x14ac:dyDescent="0.25">
      <c r="A11" s="55"/>
      <c r="B11" s="56" t="s">
        <v>18</v>
      </c>
      <c r="C11" s="57" t="s">
        <v>19</v>
      </c>
    </row>
    <row r="12" spans="1:11" ht="15" customHeight="1" x14ac:dyDescent="0.25">
      <c r="A12" s="53" t="s">
        <v>20</v>
      </c>
      <c r="B12" s="40">
        <v>2018</v>
      </c>
      <c r="C12" s="35">
        <v>2018</v>
      </c>
      <c r="D12" s="11">
        <f>VLOOKUP(B12,A32:D52,2)</f>
        <v>7141</v>
      </c>
      <c r="E12" s="11">
        <f>IF(C12="Mean",AVERAGE(D32:D52),VLOOKUP(C12,A32:D52,4))</f>
        <v>125702</v>
      </c>
      <c r="H12"/>
      <c r="I12"/>
    </row>
    <row r="13" spans="1:11" x14ac:dyDescent="0.25">
      <c r="A13" s="54" t="s">
        <v>49</v>
      </c>
      <c r="B13" s="41">
        <v>2018</v>
      </c>
      <c r="C13" s="36">
        <v>2018</v>
      </c>
      <c r="D13" s="11">
        <f>VLOOKUP(B13,A58:D78,2)</f>
        <v>7141</v>
      </c>
      <c r="E13" s="11">
        <f>IF(C13="Mean",AVERAGE(D58:D78),VLOOKUP(C13,A58:D78,4))</f>
        <v>125702</v>
      </c>
      <c r="H13"/>
      <c r="I13"/>
    </row>
    <row r="14" spans="1:11" x14ac:dyDescent="0.25">
      <c r="A14"/>
      <c r="B14"/>
      <c r="C14"/>
      <c r="D14"/>
      <c r="E14"/>
      <c r="H14"/>
      <c r="I14"/>
    </row>
    <row r="15" spans="1:11" x14ac:dyDescent="0.25">
      <c r="A15"/>
      <c r="B15"/>
      <c r="C15"/>
      <c r="D15"/>
      <c r="E15"/>
      <c r="H15"/>
      <c r="I15"/>
    </row>
    <row r="16" spans="1:11" x14ac:dyDescent="0.25">
      <c r="A16"/>
      <c r="B16"/>
      <c r="C16"/>
      <c r="D16"/>
      <c r="E16"/>
      <c r="H16"/>
      <c r="I16"/>
    </row>
    <row r="17" spans="1:16" x14ac:dyDescent="0.25">
      <c r="A17"/>
      <c r="B17"/>
      <c r="C17"/>
      <c r="D17"/>
      <c r="E17"/>
      <c r="H17"/>
      <c r="I17"/>
    </row>
    <row r="18" spans="1:16" x14ac:dyDescent="0.25">
      <c r="A18"/>
      <c r="B18"/>
      <c r="C18"/>
      <c r="D18"/>
      <c r="E18"/>
      <c r="H18"/>
      <c r="I18"/>
    </row>
    <row r="19" spans="1:16" x14ac:dyDescent="0.25">
      <c r="A19"/>
      <c r="B19"/>
      <c r="C19"/>
      <c r="D19"/>
      <c r="E19"/>
      <c r="H19"/>
      <c r="I19"/>
    </row>
    <row r="20" spans="1:16" x14ac:dyDescent="0.25">
      <c r="A20"/>
      <c r="B20"/>
      <c r="C20"/>
      <c r="D20"/>
      <c r="E20"/>
      <c r="H20"/>
      <c r="I20"/>
    </row>
    <row r="21" spans="1:16" x14ac:dyDescent="0.25">
      <c r="A21"/>
      <c r="B21"/>
      <c r="C21"/>
      <c r="D21"/>
      <c r="E21"/>
      <c r="H21"/>
      <c r="I21"/>
    </row>
    <row r="22" spans="1:16" x14ac:dyDescent="0.25">
      <c r="A22"/>
      <c r="B22"/>
      <c r="C22"/>
      <c r="D22"/>
      <c r="E22"/>
      <c r="H22"/>
      <c r="I22"/>
    </row>
    <row r="23" spans="1:16" x14ac:dyDescent="0.25">
      <c r="A23"/>
      <c r="B23"/>
      <c r="C23"/>
      <c r="D23"/>
      <c r="E23"/>
      <c r="H23"/>
      <c r="I23"/>
    </row>
    <row r="24" spans="1:16" x14ac:dyDescent="0.25">
      <c r="A24"/>
      <c r="B24"/>
      <c r="C24"/>
      <c r="D24"/>
      <c r="E24"/>
      <c r="H24"/>
      <c r="I24"/>
    </row>
    <row r="25" spans="1:16" x14ac:dyDescent="0.25">
      <c r="A25"/>
      <c r="B25"/>
      <c r="C25"/>
      <c r="D25"/>
      <c r="E25"/>
      <c r="H25"/>
      <c r="I25"/>
    </row>
    <row r="26" spans="1:16" x14ac:dyDescent="0.25">
      <c r="A26"/>
      <c r="B26"/>
      <c r="C26"/>
      <c r="D26"/>
      <c r="E26"/>
      <c r="H26"/>
      <c r="I26"/>
    </row>
    <row r="27" spans="1:16" x14ac:dyDescent="0.25">
      <c r="A27"/>
      <c r="B27"/>
      <c r="C27"/>
      <c r="D27"/>
      <c r="E27"/>
      <c r="H27"/>
      <c r="I27"/>
    </row>
    <row r="28" spans="1:16" x14ac:dyDescent="0.25">
      <c r="A28"/>
      <c r="B28"/>
      <c r="C28"/>
      <c r="D28"/>
      <c r="E28"/>
      <c r="H28"/>
      <c r="I28"/>
    </row>
    <row r="29" spans="1:16" ht="15.75" thickBot="1" x14ac:dyDescent="0.3">
      <c r="A29"/>
      <c r="B29"/>
      <c r="C29"/>
      <c r="D29"/>
      <c r="E29"/>
      <c r="H29"/>
      <c r="I29"/>
    </row>
    <row r="30" spans="1:16" x14ac:dyDescent="0.25">
      <c r="A30" s="181" t="s">
        <v>67</v>
      </c>
      <c r="B30" s="182"/>
      <c r="C30" s="182"/>
      <c r="D30" s="182"/>
      <c r="E30" s="182"/>
      <c r="F30" s="182"/>
      <c r="G30" s="182"/>
      <c r="H30" s="182"/>
      <c r="I30" s="182"/>
      <c r="J30" s="182"/>
      <c r="K30" s="183"/>
    </row>
    <row r="31" spans="1:16" ht="45" x14ac:dyDescent="0.25">
      <c r="A31" s="77" t="s">
        <v>0</v>
      </c>
      <c r="B31" s="78" t="s">
        <v>38</v>
      </c>
      <c r="C31" s="78" t="s">
        <v>7</v>
      </c>
      <c r="D31" s="78" t="s">
        <v>39</v>
      </c>
      <c r="E31" s="78" t="s">
        <v>8</v>
      </c>
      <c r="F31" s="65"/>
      <c r="G31" s="78" t="s">
        <v>27</v>
      </c>
      <c r="H31" s="79" t="s">
        <v>26</v>
      </c>
      <c r="I31" s="78" t="s">
        <v>40</v>
      </c>
      <c r="J31" s="79" t="s">
        <v>28</v>
      </c>
      <c r="K31" s="80" t="s">
        <v>29</v>
      </c>
      <c r="L31" s="1"/>
      <c r="N31" s="17" t="s">
        <v>22</v>
      </c>
      <c r="O31" s="15" t="s">
        <v>6</v>
      </c>
      <c r="P31" s="15" t="s">
        <v>4</v>
      </c>
    </row>
    <row r="32" spans="1:16" x14ac:dyDescent="0.25">
      <c r="A32" s="81">
        <v>1998</v>
      </c>
      <c r="B32" s="21">
        <f>IF($B$2="Trawl",Indices!B2,Indices!C2)</f>
        <v>18502</v>
      </c>
      <c r="C32" s="22">
        <f t="shared" ref="C32:C52" si="0">B32/D$12</f>
        <v>2.5909536479484667</v>
      </c>
      <c r="D32" s="21">
        <f>IF($C$2="Trawl",Indices!B2,Indices!C2)</f>
        <v>161256</v>
      </c>
      <c r="E32" s="22">
        <f>D32/E$12</f>
        <v>1.2828435506197196</v>
      </c>
      <c r="F32" s="65"/>
      <c r="G32" s="82">
        <f t="shared" ref="G32:G52" si="1">MIN($G$3,MAX($H$3,$F$3*(1-1*(1-(C32+N32)))))</f>
        <v>2805</v>
      </c>
      <c r="H32" s="65"/>
      <c r="I32" s="82">
        <f>G32</f>
        <v>2805</v>
      </c>
      <c r="J32" s="65"/>
      <c r="K32" s="83"/>
      <c r="L32" s="2"/>
      <c r="N32" s="18">
        <f t="shared" ref="N32:N51" si="2">IF(E32&lt;$B$7,$E$8*(E32-$B$7),IF(E32&gt;$B$8,$E$9*(E32-$B$8),0))</f>
        <v>9.8995242716901841E-2</v>
      </c>
      <c r="O32" s="15">
        <f t="shared" ref="O32:O51" si="3">$H$3</f>
        <v>798</v>
      </c>
      <c r="P32" s="15">
        <f t="shared" ref="P32:P51" si="4">$G$3</f>
        <v>2805</v>
      </c>
    </row>
    <row r="33" spans="1:16" x14ac:dyDescent="0.25">
      <c r="A33" s="81">
        <v>1999</v>
      </c>
      <c r="B33" s="21">
        <f>IF($B$2="Trawl",Indices!B3,Indices!C3)</f>
        <v>16201</v>
      </c>
      <c r="C33" s="22">
        <f t="shared" si="0"/>
        <v>2.2687298697661391</v>
      </c>
      <c r="D33" s="21">
        <f>IF($C$2="Trawl",Indices!B3,Indices!C3)</f>
        <v>129116</v>
      </c>
      <c r="E33" s="22">
        <f t="shared" ref="E33:E52" si="5">D33/E$12</f>
        <v>1.0271594724029849</v>
      </c>
      <c r="F33" s="65"/>
      <c r="G33" s="82">
        <f t="shared" si="1"/>
        <v>2805</v>
      </c>
      <c r="H33" s="84">
        <f>(G33-G32)/G32</f>
        <v>0</v>
      </c>
      <c r="I33" s="82">
        <f t="shared" ref="I33:I52" si="6">IF(J33&gt;0,IF(ABS(J33)&gt;$H$8,I32*(1+SIGN(J33)*$H$8),G33),IF(ABS(J33)&gt;$H$9,I32*(1+SIGN(J33)*$H$9),G33))</f>
        <v>2805</v>
      </c>
      <c r="J33" s="84">
        <f t="shared" ref="J33:J52" si="7">(G33-I32)/I32</f>
        <v>0</v>
      </c>
      <c r="K33" s="85">
        <f>(I33-I32)/I32</f>
        <v>0</v>
      </c>
      <c r="L33" s="2"/>
      <c r="N33" s="18">
        <f t="shared" si="2"/>
        <v>9.5058153410447089E-3</v>
      </c>
      <c r="O33" s="15">
        <f t="shared" si="3"/>
        <v>798</v>
      </c>
      <c r="P33" s="15">
        <f t="shared" si="4"/>
        <v>2805</v>
      </c>
    </row>
    <row r="34" spans="1:16" x14ac:dyDescent="0.25">
      <c r="A34" s="81">
        <v>2000</v>
      </c>
      <c r="B34" s="21">
        <f>IF($B$2="Trawl",Indices!B4,Indices!C4)</f>
        <v>16203</v>
      </c>
      <c r="C34" s="22">
        <f t="shared" si="0"/>
        <v>2.2690099425850723</v>
      </c>
      <c r="D34" s="21">
        <f>IF($C$2="Trawl",Indices!B4,Indices!C4)</f>
        <v>118677</v>
      </c>
      <c r="E34" s="22">
        <f t="shared" si="5"/>
        <v>0.94411385658143865</v>
      </c>
      <c r="F34" s="65"/>
      <c r="G34" s="82">
        <f t="shared" si="1"/>
        <v>2805</v>
      </c>
      <c r="H34" s="84">
        <f t="shared" ref="H34:H52" si="8">(G34-G33)/G33</f>
        <v>0</v>
      </c>
      <c r="I34" s="82">
        <f t="shared" si="6"/>
        <v>2805</v>
      </c>
      <c r="J34" s="84">
        <f t="shared" si="7"/>
        <v>0</v>
      </c>
      <c r="K34" s="85">
        <f>(I34-I33)/I33</f>
        <v>0</v>
      </c>
      <c r="L34" s="2"/>
      <c r="N34" s="18">
        <f t="shared" si="2"/>
        <v>-1.956015019649647E-2</v>
      </c>
      <c r="O34" s="15">
        <f t="shared" si="3"/>
        <v>798</v>
      </c>
      <c r="P34" s="15">
        <f t="shared" si="4"/>
        <v>2805</v>
      </c>
    </row>
    <row r="35" spans="1:16" x14ac:dyDescent="0.25">
      <c r="A35" s="81">
        <v>2001</v>
      </c>
      <c r="B35" s="21">
        <f>IF($B$2="Trawl",Indices!B5,Indices!C5)</f>
        <v>13780</v>
      </c>
      <c r="C35" s="22">
        <f t="shared" si="0"/>
        <v>1.9297017224478363</v>
      </c>
      <c r="D35" s="21">
        <f>IF($C$2="Trawl",Indices!B5,Indices!C5)</f>
        <v>141219</v>
      </c>
      <c r="E35" s="22">
        <f t="shared" si="5"/>
        <v>1.1234427455410416</v>
      </c>
      <c r="F35" s="65"/>
      <c r="G35" s="82">
        <f t="shared" si="1"/>
        <v>2805</v>
      </c>
      <c r="H35" s="84">
        <f t="shared" si="8"/>
        <v>0</v>
      </c>
      <c r="I35" s="82">
        <f t="shared" si="6"/>
        <v>2805</v>
      </c>
      <c r="J35" s="84">
        <f t="shared" si="7"/>
        <v>0</v>
      </c>
      <c r="K35" s="85">
        <f t="shared" ref="K35:K52" si="9">(I35-I34)/I34</f>
        <v>0</v>
      </c>
      <c r="L35" s="2"/>
      <c r="N35" s="18">
        <f t="shared" si="2"/>
        <v>4.3204960939364566E-2</v>
      </c>
      <c r="O35" s="15">
        <f t="shared" si="3"/>
        <v>798</v>
      </c>
      <c r="P35" s="15">
        <f t="shared" si="4"/>
        <v>2805</v>
      </c>
    </row>
    <row r="36" spans="1:16" x14ac:dyDescent="0.25">
      <c r="A36" s="81">
        <v>2002</v>
      </c>
      <c r="B36" s="21">
        <f>IF($B$2="Trawl",Indices!B6,Indices!C6)</f>
        <v>12104</v>
      </c>
      <c r="C36" s="22">
        <f t="shared" si="0"/>
        <v>1.6950007001820473</v>
      </c>
      <c r="D36" s="21">
        <f>IF($C$2="Trawl",Indices!B6,Indices!C6)</f>
        <v>101706</v>
      </c>
      <c r="E36" s="22">
        <f t="shared" si="5"/>
        <v>0.80910407153426356</v>
      </c>
      <c r="F36" s="65"/>
      <c r="G36" s="82">
        <f t="shared" si="1"/>
        <v>2544.8564767173589</v>
      </c>
      <c r="H36" s="84">
        <f t="shared" si="8"/>
        <v>-9.2742789049069921E-2</v>
      </c>
      <c r="I36" s="82">
        <f t="shared" si="6"/>
        <v>2544.8564767173589</v>
      </c>
      <c r="J36" s="84">
        <f t="shared" si="7"/>
        <v>-9.2742789049069921E-2</v>
      </c>
      <c r="K36" s="85">
        <f t="shared" si="9"/>
        <v>-9.2742789049069921E-2</v>
      </c>
      <c r="L36" s="2"/>
      <c r="N36" s="18">
        <f t="shared" si="2"/>
        <v>-6.6813574963007744E-2</v>
      </c>
      <c r="O36" s="15">
        <f t="shared" si="3"/>
        <v>798</v>
      </c>
      <c r="P36" s="15">
        <f t="shared" si="4"/>
        <v>2805</v>
      </c>
    </row>
    <row r="37" spans="1:16" x14ac:dyDescent="0.25">
      <c r="A37" s="81">
        <v>2003</v>
      </c>
      <c r="B37" s="21">
        <f>IF($B$2="Trawl",Indices!B7,Indices!C7)</f>
        <v>10866</v>
      </c>
      <c r="C37" s="22">
        <f t="shared" si="0"/>
        <v>1.5216356252625682</v>
      </c>
      <c r="D37" s="21">
        <f>IF($C$2="Trawl",Indices!B7,Indices!C7)</f>
        <v>132151</v>
      </c>
      <c r="E37" s="22">
        <f t="shared" si="5"/>
        <v>1.0513038774243846</v>
      </c>
      <c r="F37" s="65"/>
      <c r="G37" s="82">
        <f t="shared" si="1"/>
        <v>2406.3822684304037</v>
      </c>
      <c r="H37" s="84">
        <f t="shared" si="8"/>
        <v>-5.4413366550861354E-2</v>
      </c>
      <c r="I37" s="82">
        <f t="shared" si="6"/>
        <v>2406.3822684304037</v>
      </c>
      <c r="J37" s="84">
        <f t="shared" si="7"/>
        <v>-5.4413366550861354E-2</v>
      </c>
      <c r="K37" s="85">
        <f t="shared" si="9"/>
        <v>-5.4413366550861354E-2</v>
      </c>
      <c r="L37" s="2"/>
      <c r="N37" s="18">
        <f t="shared" si="2"/>
        <v>1.7956357098534603E-2</v>
      </c>
      <c r="O37" s="15">
        <f t="shared" si="3"/>
        <v>798</v>
      </c>
      <c r="P37" s="15">
        <f t="shared" si="4"/>
        <v>2805</v>
      </c>
    </row>
    <row r="38" spans="1:16" x14ac:dyDescent="0.25">
      <c r="A38" s="81">
        <v>2004</v>
      </c>
      <c r="B38" s="21">
        <f>IF($B$2="Trawl",Indices!B8,Indices!C8)</f>
        <v>9987</v>
      </c>
      <c r="C38" s="22">
        <f t="shared" si="0"/>
        <v>1.3985436213415487</v>
      </c>
      <c r="D38" s="21">
        <f>IF($C$2="Trawl",Indices!B8,Indices!C8)</f>
        <v>130075</v>
      </c>
      <c r="E38" s="22">
        <f t="shared" si="5"/>
        <v>1.0347886270703728</v>
      </c>
      <c r="F38" s="65"/>
      <c r="G38" s="82">
        <f t="shared" si="1"/>
        <v>2204.9547985956883</v>
      </c>
      <c r="H38" s="84">
        <f t="shared" si="8"/>
        <v>-8.3705516150640188E-2</v>
      </c>
      <c r="I38" s="82">
        <f t="shared" si="6"/>
        <v>2204.9547985956883</v>
      </c>
      <c r="J38" s="84">
        <f t="shared" si="7"/>
        <v>-8.3705516150640188E-2</v>
      </c>
      <c r="K38" s="85">
        <f t="shared" si="9"/>
        <v>-8.3705516150640188E-2</v>
      </c>
      <c r="L38" s="2"/>
      <c r="N38" s="18">
        <f t="shared" si="2"/>
        <v>1.2176019474630472E-2</v>
      </c>
      <c r="O38" s="15">
        <f t="shared" si="3"/>
        <v>798</v>
      </c>
      <c r="P38" s="15">
        <f t="shared" si="4"/>
        <v>2805</v>
      </c>
    </row>
    <row r="39" spans="1:16" x14ac:dyDescent="0.25">
      <c r="A39" s="81">
        <v>2005</v>
      </c>
      <c r="B39" s="21">
        <f>IF($B$2="Trawl",Indices!B9,Indices!C9)</f>
        <v>9550</v>
      </c>
      <c r="C39" s="22">
        <f t="shared" si="0"/>
        <v>1.3373477104047051</v>
      </c>
      <c r="D39" s="21">
        <f>IF($C$2="Trawl",Indices!B9,Indices!C9)</f>
        <v>132518</v>
      </c>
      <c r="E39" s="22">
        <f t="shared" si="5"/>
        <v>1.0542234809310911</v>
      </c>
      <c r="F39" s="65"/>
      <c r="G39" s="82">
        <f t="shared" si="1"/>
        <v>2119.9374266059076</v>
      </c>
      <c r="H39" s="84">
        <f t="shared" si="8"/>
        <v>-3.8557421695867573E-2</v>
      </c>
      <c r="I39" s="82">
        <f t="shared" si="6"/>
        <v>2119.9374266059076</v>
      </c>
      <c r="J39" s="84">
        <f t="shared" si="7"/>
        <v>-3.8557421695867573E-2</v>
      </c>
      <c r="K39" s="85">
        <f t="shared" si="9"/>
        <v>-3.8557421695867573E-2</v>
      </c>
      <c r="L39" s="2"/>
      <c r="N39" s="18">
        <f t="shared" si="2"/>
        <v>1.8978218325881879E-2</v>
      </c>
      <c r="O39" s="15">
        <f t="shared" si="3"/>
        <v>798</v>
      </c>
      <c r="P39" s="15">
        <f t="shared" si="4"/>
        <v>2805</v>
      </c>
    </row>
    <row r="40" spans="1:16" x14ac:dyDescent="0.25">
      <c r="A40" s="81">
        <v>2006</v>
      </c>
      <c r="B40" s="21">
        <f>IF($B$2="Trawl",Indices!B10,Indices!C10)</f>
        <v>9802</v>
      </c>
      <c r="C40" s="22">
        <f t="shared" si="0"/>
        <v>1.3726368855902535</v>
      </c>
      <c r="D40" s="21">
        <f>IF($C$2="Trawl",Indices!B10,Indices!C10)</f>
        <v>155964</v>
      </c>
      <c r="E40" s="22">
        <f t="shared" si="5"/>
        <v>1.2407439817982211</v>
      </c>
      <c r="F40" s="65"/>
      <c r="G40" s="82">
        <f t="shared" si="1"/>
        <v>2277.130447420283</v>
      </c>
      <c r="H40" s="84">
        <f t="shared" si="8"/>
        <v>7.4149839915816182E-2</v>
      </c>
      <c r="I40" s="82">
        <f t="shared" si="6"/>
        <v>2277.130447420283</v>
      </c>
      <c r="J40" s="84">
        <f t="shared" si="7"/>
        <v>7.4149839915816182E-2</v>
      </c>
      <c r="K40" s="85">
        <f t="shared" si="9"/>
        <v>7.4149839915816182E-2</v>
      </c>
      <c r="L40" s="2"/>
      <c r="N40" s="18">
        <f t="shared" si="2"/>
        <v>8.4260393629377373E-2</v>
      </c>
      <c r="O40" s="15">
        <f t="shared" si="3"/>
        <v>798</v>
      </c>
      <c r="P40" s="15">
        <f t="shared" si="4"/>
        <v>2805</v>
      </c>
    </row>
    <row r="41" spans="1:16" x14ac:dyDescent="0.25">
      <c r="A41" s="81">
        <v>2007</v>
      </c>
      <c r="B41" s="21">
        <f>IF($B$2="Trawl",Indices!B11,Indices!C11)</f>
        <v>9673</v>
      </c>
      <c r="C41" s="22">
        <f t="shared" si="0"/>
        <v>1.35457218876908</v>
      </c>
      <c r="D41" s="21">
        <f>IF($C$2="Trawl",Indices!B11,Indices!C11)</f>
        <v>143903</v>
      </c>
      <c r="E41" s="22">
        <f t="shared" si="5"/>
        <v>1.1447948322222399</v>
      </c>
      <c r="F41" s="65"/>
      <c r="G41" s="82">
        <f t="shared" si="1"/>
        <v>2196.4063440132486</v>
      </c>
      <c r="H41" s="84">
        <f t="shared" si="8"/>
        <v>-3.5449924925682295E-2</v>
      </c>
      <c r="I41" s="82">
        <f t="shared" si="6"/>
        <v>2196.4063440132486</v>
      </c>
      <c r="J41" s="84">
        <f t="shared" si="7"/>
        <v>-3.5449924925682295E-2</v>
      </c>
      <c r="K41" s="85">
        <f t="shared" si="9"/>
        <v>-3.5449924925682295E-2</v>
      </c>
      <c r="L41" s="2"/>
      <c r="N41" s="18">
        <f t="shared" si="2"/>
        <v>5.0678191277783953E-2</v>
      </c>
      <c r="O41" s="15">
        <f t="shared" si="3"/>
        <v>798</v>
      </c>
      <c r="P41" s="15">
        <f t="shared" si="4"/>
        <v>2805</v>
      </c>
    </row>
    <row r="42" spans="1:16" x14ac:dyDescent="0.25">
      <c r="A42" s="81">
        <v>2008</v>
      </c>
      <c r="B42" s="21">
        <f>IF($B$2="Trawl",Indices!B12,Indices!C12)</f>
        <v>10264</v>
      </c>
      <c r="C42" s="22">
        <f t="shared" si="0"/>
        <v>1.4373337067637586</v>
      </c>
      <c r="D42" s="21">
        <f>IF($C$2="Trawl",Indices!B12,Indices!C12)</f>
        <v>140247</v>
      </c>
      <c r="E42" s="22">
        <f t="shared" si="5"/>
        <v>1.1157101716758684</v>
      </c>
      <c r="F42" s="65"/>
      <c r="G42" s="82">
        <f t="shared" si="1"/>
        <v>2309.8518330870384</v>
      </c>
      <c r="H42" s="84">
        <f t="shared" si="8"/>
        <v>5.1650501457987712E-2</v>
      </c>
      <c r="I42" s="82">
        <f t="shared" si="6"/>
        <v>2309.8518330870384</v>
      </c>
      <c r="J42" s="84">
        <f t="shared" si="7"/>
        <v>5.1650501457987712E-2</v>
      </c>
      <c r="K42" s="85">
        <f t="shared" si="9"/>
        <v>5.1650501457987712E-2</v>
      </c>
      <c r="L42" s="2"/>
      <c r="N42" s="18">
        <f t="shared" si="2"/>
        <v>4.0498560086553934E-2</v>
      </c>
      <c r="O42" s="15">
        <f t="shared" si="3"/>
        <v>798</v>
      </c>
      <c r="P42" s="15">
        <f t="shared" si="4"/>
        <v>2805</v>
      </c>
    </row>
    <row r="43" spans="1:16" x14ac:dyDescent="0.25">
      <c r="A43" s="81">
        <v>2009</v>
      </c>
      <c r="B43" s="21">
        <f>IF($B$2="Trawl",Indices!B13,Indices!C13)</f>
        <v>9834</v>
      </c>
      <c r="C43" s="22">
        <f t="shared" si="0"/>
        <v>1.3771180506931802</v>
      </c>
      <c r="D43" s="21">
        <f>IF($C$2="Trawl",Indices!B13,Indices!C13)</f>
        <v>168102</v>
      </c>
      <c r="E43" s="22">
        <f t="shared" si="5"/>
        <v>1.3373056912380072</v>
      </c>
      <c r="F43" s="65"/>
      <c r="G43" s="82">
        <f t="shared" si="1"/>
        <v>2336.9585916251926</v>
      </c>
      <c r="H43" s="84">
        <f t="shared" si="8"/>
        <v>1.1735280224414663E-2</v>
      </c>
      <c r="I43" s="82">
        <f t="shared" si="6"/>
        <v>2336.9585916251926</v>
      </c>
      <c r="J43" s="84">
        <f t="shared" si="7"/>
        <v>1.1735280224414663E-2</v>
      </c>
      <c r="K43" s="85">
        <f t="shared" si="9"/>
        <v>1.1735280224414663E-2</v>
      </c>
      <c r="L43" s="2"/>
      <c r="N43" s="18">
        <f t="shared" si="2"/>
        <v>0.11805699193330253</v>
      </c>
      <c r="O43" s="15">
        <f t="shared" si="3"/>
        <v>798</v>
      </c>
      <c r="P43" s="15">
        <f t="shared" si="4"/>
        <v>2805</v>
      </c>
    </row>
    <row r="44" spans="1:16" x14ac:dyDescent="0.25">
      <c r="A44" s="81">
        <v>2010</v>
      </c>
      <c r="B44" s="21">
        <f>IF($B$2="Trawl",Indices!B14,Indices!C14)</f>
        <v>9146</v>
      </c>
      <c r="C44" s="22">
        <f t="shared" si="0"/>
        <v>1.2807730009802549</v>
      </c>
      <c r="D44" s="21">
        <f>IF($C$2="Trawl",Indices!B14,Indices!C14)</f>
        <v>195535</v>
      </c>
      <c r="E44" s="22">
        <f t="shared" si="5"/>
        <v>1.5555440645335794</v>
      </c>
      <c r="F44" s="65"/>
      <c r="G44" s="82">
        <f t="shared" si="1"/>
        <v>2305.758581035233</v>
      </c>
      <c r="H44" s="84">
        <f t="shared" si="8"/>
        <v>-1.3350690380980277E-2</v>
      </c>
      <c r="I44" s="82">
        <f t="shared" si="6"/>
        <v>2305.758581035233</v>
      </c>
      <c r="J44" s="84">
        <f t="shared" si="7"/>
        <v>-1.3350690380980277E-2</v>
      </c>
      <c r="K44" s="85">
        <f t="shared" si="9"/>
        <v>-1.3350690380980277E-2</v>
      </c>
      <c r="L44" s="2"/>
      <c r="N44" s="18">
        <f t="shared" si="2"/>
        <v>0.19444042258675279</v>
      </c>
      <c r="O44" s="15">
        <f t="shared" si="3"/>
        <v>798</v>
      </c>
      <c r="P44" s="15">
        <f t="shared" si="4"/>
        <v>2805</v>
      </c>
    </row>
    <row r="45" spans="1:16" x14ac:dyDescent="0.25">
      <c r="A45" s="81">
        <v>2011</v>
      </c>
      <c r="B45" s="21">
        <f>IF($B$2="Trawl",Indices!B15,Indices!C15)</f>
        <v>8669</v>
      </c>
      <c r="C45" s="22">
        <f t="shared" si="0"/>
        <v>1.2139756336647529</v>
      </c>
      <c r="D45" s="21">
        <f>IF($C$2="Trawl",Indices!B15,Indices!C15)</f>
        <v>186666</v>
      </c>
      <c r="E45" s="22">
        <f t="shared" si="5"/>
        <v>1.4849883056753275</v>
      </c>
      <c r="F45" s="65"/>
      <c r="G45" s="82">
        <f t="shared" si="1"/>
        <v>2162.7567680376969</v>
      </c>
      <c r="H45" s="84">
        <f t="shared" si="8"/>
        <v>-6.2019421362548496E-2</v>
      </c>
      <c r="I45" s="82">
        <f t="shared" si="6"/>
        <v>2162.7567680376969</v>
      </c>
      <c r="J45" s="84">
        <f t="shared" si="7"/>
        <v>-6.2019421362548496E-2</v>
      </c>
      <c r="K45" s="85">
        <f t="shared" si="9"/>
        <v>-6.2019421362548496E-2</v>
      </c>
      <c r="L45" s="2"/>
      <c r="N45" s="18">
        <f t="shared" si="2"/>
        <v>0.1697459069863646</v>
      </c>
      <c r="O45" s="15">
        <f t="shared" si="3"/>
        <v>798</v>
      </c>
      <c r="P45" s="15">
        <f t="shared" si="4"/>
        <v>2805</v>
      </c>
    </row>
    <row r="46" spans="1:16" x14ac:dyDescent="0.25">
      <c r="A46" s="81">
        <v>2012</v>
      </c>
      <c r="B46" s="21">
        <f>IF($B$2="Trawl",Indices!B16,Indices!C16)</f>
        <v>8403</v>
      </c>
      <c r="C46" s="22">
        <f t="shared" si="0"/>
        <v>1.1767259487466741</v>
      </c>
      <c r="D46" s="21">
        <f>IF($C$2="Trawl",Indices!B16,Indices!C16)</f>
        <v>189000</v>
      </c>
      <c r="E46" s="22">
        <f t="shared" si="5"/>
        <v>1.5035560293392309</v>
      </c>
      <c r="F46" s="65"/>
      <c r="G46" s="82">
        <f t="shared" si="1"/>
        <v>2114.692983741078</v>
      </c>
      <c r="H46" s="84">
        <f t="shared" si="8"/>
        <v>-2.222338868934759E-2</v>
      </c>
      <c r="I46" s="82">
        <f t="shared" si="6"/>
        <v>2114.692983741078</v>
      </c>
      <c r="J46" s="84">
        <f t="shared" si="7"/>
        <v>-2.222338868934759E-2</v>
      </c>
      <c r="K46" s="85">
        <f t="shared" si="9"/>
        <v>-2.222338868934759E-2</v>
      </c>
      <c r="L46" s="2"/>
      <c r="N46" s="18">
        <f t="shared" si="2"/>
        <v>0.17624461026873081</v>
      </c>
      <c r="O46" s="15">
        <f t="shared" si="3"/>
        <v>798</v>
      </c>
      <c r="P46" s="15">
        <f t="shared" si="4"/>
        <v>2805</v>
      </c>
    </row>
    <row r="47" spans="1:16" x14ac:dyDescent="0.25">
      <c r="A47" s="81">
        <v>2013</v>
      </c>
      <c r="B47" s="21">
        <f>IF($B$2="Trawl",Indices!B17,Indices!C17)</f>
        <v>7989</v>
      </c>
      <c r="C47" s="22">
        <f t="shared" si="0"/>
        <v>1.1187508752275592</v>
      </c>
      <c r="D47" s="21">
        <f>IF($C$2="Trawl",Indices!B17,Indices!C17)</f>
        <v>183989</v>
      </c>
      <c r="E47" s="22">
        <f t="shared" si="5"/>
        <v>1.4636919062544749</v>
      </c>
      <c r="F47" s="65"/>
      <c r="G47" s="82">
        <f t="shared" si="1"/>
        <v>2002.2702752971857</v>
      </c>
      <c r="H47" s="84">
        <f t="shared" si="8"/>
        <v>-5.3162662054614993E-2</v>
      </c>
      <c r="I47" s="82">
        <f t="shared" si="6"/>
        <v>2002.2702752971857</v>
      </c>
      <c r="J47" s="84">
        <f t="shared" si="7"/>
        <v>-5.3162662054614993E-2</v>
      </c>
      <c r="K47" s="85">
        <f t="shared" si="9"/>
        <v>-5.3162662054614993E-2</v>
      </c>
      <c r="L47" s="2"/>
      <c r="N47" s="18">
        <f t="shared" si="2"/>
        <v>0.16229216718906619</v>
      </c>
      <c r="O47" s="15">
        <f t="shared" si="3"/>
        <v>798</v>
      </c>
      <c r="P47" s="15">
        <f t="shared" si="4"/>
        <v>2805</v>
      </c>
    </row>
    <row r="48" spans="1:16" x14ac:dyDescent="0.25">
      <c r="A48" s="81">
        <v>2014</v>
      </c>
      <c r="B48" s="21">
        <f>IF($B$2="Trawl",Indices!B18,Indices!C18)</f>
        <v>7995</v>
      </c>
      <c r="C48" s="22">
        <f t="shared" si="0"/>
        <v>1.1195910936843578</v>
      </c>
      <c r="D48" s="21">
        <f>IF($C$2="Trawl",Indices!B18,Indices!C18)</f>
        <v>171427</v>
      </c>
      <c r="E48" s="22">
        <f t="shared" si="5"/>
        <v>1.3637571399023087</v>
      </c>
      <c r="F48" s="65"/>
      <c r="G48" s="82">
        <f t="shared" si="1"/>
        <v>1948.9142228122091</v>
      </c>
      <c r="H48" s="84">
        <f t="shared" si="8"/>
        <v>-2.6647777347170179E-2</v>
      </c>
      <c r="I48" s="82">
        <f t="shared" si="6"/>
        <v>1948.9142228122091</v>
      </c>
      <c r="J48" s="84">
        <f t="shared" si="7"/>
        <v>-2.6647777347170179E-2</v>
      </c>
      <c r="K48" s="85">
        <f t="shared" si="9"/>
        <v>-2.6647777347170179E-2</v>
      </c>
      <c r="L48" s="2"/>
      <c r="N48" s="18">
        <f t="shared" si="2"/>
        <v>0.12731499896580806</v>
      </c>
      <c r="O48" s="15">
        <f t="shared" si="3"/>
        <v>798</v>
      </c>
      <c r="P48" s="15">
        <f t="shared" si="4"/>
        <v>2805</v>
      </c>
    </row>
    <row r="49" spans="1:16" x14ac:dyDescent="0.25">
      <c r="A49" s="81">
        <v>2015</v>
      </c>
      <c r="B49" s="21">
        <f>IF($B$2="Trawl",Indices!B19,Indices!C19)</f>
        <v>8130</v>
      </c>
      <c r="C49" s="22">
        <f t="shared" si="0"/>
        <v>1.1384960089623302</v>
      </c>
      <c r="D49" s="21">
        <f>IF($C$2="Trawl",Indices!B19,Indices!C19)</f>
        <v>172237</v>
      </c>
      <c r="E49" s="22">
        <f t="shared" si="5"/>
        <v>1.3702009514566196</v>
      </c>
      <c r="F49" s="65"/>
      <c r="G49" s="82">
        <f t="shared" si="1"/>
        <v>1981.9876925024657</v>
      </c>
      <c r="H49" s="84">
        <f t="shared" si="8"/>
        <v>1.6970202845835287E-2</v>
      </c>
      <c r="I49" s="82">
        <f t="shared" si="6"/>
        <v>1981.9876925024657</v>
      </c>
      <c r="J49" s="84">
        <f t="shared" si="7"/>
        <v>1.6970202845835287E-2</v>
      </c>
      <c r="K49" s="85">
        <f t="shared" si="9"/>
        <v>1.6970202845835287E-2</v>
      </c>
      <c r="L49" s="2"/>
      <c r="N49" s="18">
        <f t="shared" si="2"/>
        <v>0.12957033300981685</v>
      </c>
      <c r="O49" s="15">
        <f t="shared" si="3"/>
        <v>798</v>
      </c>
      <c r="P49" s="15">
        <f t="shared" si="4"/>
        <v>2805</v>
      </c>
    </row>
    <row r="50" spans="1:16" x14ac:dyDescent="0.25">
      <c r="A50" s="81">
        <v>2016</v>
      </c>
      <c r="B50" s="21">
        <f>IF($B$2="Trawl",Indices!B20,Indices!C20)</f>
        <v>7826</v>
      </c>
      <c r="C50" s="22">
        <f t="shared" si="0"/>
        <v>1.0959249404845259</v>
      </c>
      <c r="D50" s="21">
        <f>IF($C$2="Trawl",Indices!B20,Indices!C20)</f>
        <v>153704</v>
      </c>
      <c r="E50" s="22">
        <f t="shared" si="5"/>
        <v>1.2227649520294028</v>
      </c>
      <c r="F50" s="65"/>
      <c r="G50" s="82">
        <f t="shared" si="1"/>
        <v>1834.7942489849988</v>
      </c>
      <c r="H50" s="84">
        <f t="shared" si="8"/>
        <v>-7.4265568890400049E-2</v>
      </c>
      <c r="I50" s="82">
        <f t="shared" si="6"/>
        <v>1834.7942489849988</v>
      </c>
      <c r="J50" s="84">
        <f t="shared" si="7"/>
        <v>-7.4265568890400049E-2</v>
      </c>
      <c r="K50" s="85">
        <f t="shared" si="9"/>
        <v>-7.4265568890400049E-2</v>
      </c>
      <c r="L50" s="2"/>
      <c r="N50" s="18">
        <f t="shared" si="2"/>
        <v>7.796773321029099E-2</v>
      </c>
      <c r="O50" s="15">
        <f t="shared" si="3"/>
        <v>798</v>
      </c>
      <c r="P50" s="15">
        <f t="shared" si="4"/>
        <v>2805</v>
      </c>
    </row>
    <row r="51" spans="1:16" x14ac:dyDescent="0.25">
      <c r="A51" s="81">
        <v>2017</v>
      </c>
      <c r="B51" s="21">
        <f>IF($B$2="Trawl",Indices!B21,Indices!C21)</f>
        <v>7250</v>
      </c>
      <c r="C51" s="22">
        <f t="shared" si="0"/>
        <v>1.0152639686318443</v>
      </c>
      <c r="D51" s="21">
        <f>IF($C$2="Trawl",Indices!B21,Indices!C21)</f>
        <v>126684</v>
      </c>
      <c r="E51" s="22">
        <f t="shared" si="5"/>
        <v>1.0078121270942388</v>
      </c>
      <c r="F51" s="65"/>
      <c r="G51" s="82">
        <f t="shared" si="1"/>
        <v>1591.1312070984761</v>
      </c>
      <c r="H51" s="84">
        <f t="shared" si="8"/>
        <v>-0.13280128931149429</v>
      </c>
      <c r="I51" s="82">
        <f t="shared" si="6"/>
        <v>1591.1312070984761</v>
      </c>
      <c r="J51" s="84">
        <f t="shared" si="7"/>
        <v>-0.13280128931149429</v>
      </c>
      <c r="K51" s="85">
        <f t="shared" si="9"/>
        <v>-0.13280128931149429</v>
      </c>
      <c r="L51" s="2"/>
      <c r="N51" s="18">
        <f t="shared" si="2"/>
        <v>2.7342444829835943E-3</v>
      </c>
      <c r="O51" s="15">
        <f t="shared" si="3"/>
        <v>798</v>
      </c>
      <c r="P51" s="15">
        <f t="shared" si="4"/>
        <v>2805</v>
      </c>
    </row>
    <row r="52" spans="1:16" x14ac:dyDescent="0.25">
      <c r="A52" s="81">
        <v>2018</v>
      </c>
      <c r="B52" s="21">
        <f>IF($B$2="Trawl",Indices!B22,Indices!C22)</f>
        <v>7141</v>
      </c>
      <c r="C52" s="22">
        <f t="shared" si="0"/>
        <v>1</v>
      </c>
      <c r="D52" s="21">
        <f>IF($C$2="Trawl",Indices!B22,Indices!C22)</f>
        <v>125702</v>
      </c>
      <c r="E52" s="22">
        <f t="shared" si="5"/>
        <v>1</v>
      </c>
      <c r="F52" s="65"/>
      <c r="G52" s="82">
        <f t="shared" si="1"/>
        <v>1563</v>
      </c>
      <c r="H52" s="84">
        <f t="shared" si="8"/>
        <v>-1.7680004623738782E-2</v>
      </c>
      <c r="I52" s="82">
        <f t="shared" si="6"/>
        <v>1563</v>
      </c>
      <c r="J52" s="84">
        <f t="shared" si="7"/>
        <v>-1.7680004623738782E-2</v>
      </c>
      <c r="K52" s="85">
        <f t="shared" si="9"/>
        <v>-1.7680004623738782E-2</v>
      </c>
    </row>
    <row r="53" spans="1:16" x14ac:dyDescent="0.25">
      <c r="A53" s="81"/>
      <c r="B53" s="21"/>
      <c r="C53" s="21"/>
      <c r="D53" s="21"/>
      <c r="E53" s="21"/>
      <c r="F53" s="65"/>
      <c r="G53" s="21"/>
      <c r="H53" s="21"/>
      <c r="I53" s="21"/>
      <c r="J53" s="65"/>
      <c r="K53" s="83"/>
      <c r="L53" s="2"/>
      <c r="N53" s="18"/>
    </row>
    <row r="54" spans="1:16" ht="15.75" thickBot="1" x14ac:dyDescent="0.3">
      <c r="A54" s="86" t="s">
        <v>13</v>
      </c>
      <c r="B54" s="87">
        <v>9000</v>
      </c>
      <c r="C54" s="87">
        <f>B54/$D$12</f>
        <v>1.2603276851981515</v>
      </c>
      <c r="D54" s="87">
        <v>100000</v>
      </c>
      <c r="E54" s="87">
        <f>D54/$E$12</f>
        <v>0.79553229065567777</v>
      </c>
      <c r="F54" s="87"/>
      <c r="G54" s="88">
        <f>MIN($G$3,MAX($H$3,$F$3*(1-1*(1-(C54+N54)))))</f>
        <v>1858.0381115678993</v>
      </c>
      <c r="H54" s="89">
        <f>(G54-G51)/G51</f>
        <v>0.16774663414222388</v>
      </c>
      <c r="I54" s="88">
        <f>IF(ABS(J54)&gt;$H$8,I51*(1+SIGN(J54)*$H$8),G54)</f>
        <v>1858.0381115678993</v>
      </c>
      <c r="J54" s="89">
        <f>(G54-I51)/I51</f>
        <v>0.16774663414222388</v>
      </c>
      <c r="K54" s="90">
        <f>(I54-I51)/I51</f>
        <v>0.16774663414222388</v>
      </c>
      <c r="L54" s="2"/>
      <c r="N54" s="18">
        <f>IF(E54&lt;$B$7,$E$8*(E54-$B$7),IF(E54&gt;$B$8,$E$9*(E54-$B$8),0))</f>
        <v>-7.1563698270512774E-2</v>
      </c>
    </row>
    <row r="55" spans="1:16" ht="15.75" thickBot="1" x14ac:dyDescent="0.3">
      <c r="F55"/>
      <c r="J55" s="2"/>
      <c r="K55" s="2"/>
      <c r="L55" s="2"/>
      <c r="N55" s="18"/>
    </row>
    <row r="56" spans="1:16" x14ac:dyDescent="0.25">
      <c r="A56" s="181" t="s">
        <v>68</v>
      </c>
      <c r="B56" s="182"/>
      <c r="C56" s="182"/>
      <c r="D56" s="182"/>
      <c r="E56" s="182"/>
      <c r="F56" s="182"/>
      <c r="G56" s="182"/>
      <c r="H56" s="182"/>
      <c r="I56" s="182"/>
      <c r="J56" s="182"/>
      <c r="K56" s="183"/>
      <c r="L56" s="2"/>
    </row>
    <row r="57" spans="1:16" ht="45" x14ac:dyDescent="0.25">
      <c r="A57" s="77" t="s">
        <v>0</v>
      </c>
      <c r="B57" s="78" t="s">
        <v>38</v>
      </c>
      <c r="C57" s="78" t="s">
        <v>7</v>
      </c>
      <c r="D57" s="78" t="s">
        <v>39</v>
      </c>
      <c r="E57" s="78" t="s">
        <v>8</v>
      </c>
      <c r="F57" s="65"/>
      <c r="G57" s="78" t="s">
        <v>27</v>
      </c>
      <c r="H57" s="79" t="s">
        <v>26</v>
      </c>
      <c r="I57" s="78" t="s">
        <v>40</v>
      </c>
      <c r="J57" s="79" t="s">
        <v>28</v>
      </c>
      <c r="K57" s="80" t="s">
        <v>29</v>
      </c>
      <c r="N57" s="17" t="s">
        <v>22</v>
      </c>
    </row>
    <row r="58" spans="1:16" x14ac:dyDescent="0.25">
      <c r="A58" s="81">
        <v>1998</v>
      </c>
      <c r="B58" s="21">
        <f>IF($B$3="Trawl",Indices!B2,Indices!C2)</f>
        <v>18502</v>
      </c>
      <c r="C58" s="22">
        <f>B58/D$13</f>
        <v>2.5909536479484667</v>
      </c>
      <c r="D58" s="21">
        <f>IF($C$3="Trawl",Indices!B2,Indices!C2)</f>
        <v>161256</v>
      </c>
      <c r="E58" s="22">
        <f>D58/E$13</f>
        <v>1.2828435506197196</v>
      </c>
      <c r="F58" s="65"/>
      <c r="G58" s="82">
        <f>MIN($G$4,MAX($H$4,$F$4*(1-1*(1-(C58+N58)))))</f>
        <v>710</v>
      </c>
      <c r="H58" s="65"/>
      <c r="I58" s="82">
        <f>G58</f>
        <v>710</v>
      </c>
      <c r="J58" s="65"/>
      <c r="K58" s="83"/>
      <c r="N58" s="18">
        <f t="shared" ref="N58:N77" si="10">IF(E58&lt;$B$7,$E$8*(E58-$B$7),IF(E58&gt;$B$8,$E$9*(E58-$B$8),0))</f>
        <v>9.8995242716901841E-2</v>
      </c>
    </row>
    <row r="59" spans="1:16" x14ac:dyDescent="0.25">
      <c r="A59" s="81">
        <v>1999</v>
      </c>
      <c r="B59" s="21">
        <f>IF($B$3="Trawl",Indices!B3,Indices!C3)</f>
        <v>16201</v>
      </c>
      <c r="C59" s="22">
        <f t="shared" ref="C59:C80" si="11">B59/D$13</f>
        <v>2.2687298697661391</v>
      </c>
      <c r="D59" s="21">
        <f>IF($C$3="Trawl",Indices!B3,Indices!C3)</f>
        <v>129116</v>
      </c>
      <c r="E59" s="22">
        <f t="shared" ref="E59:E80" si="12">D59/E$13</f>
        <v>1.0271594724029849</v>
      </c>
      <c r="F59" s="65"/>
      <c r="G59" s="82">
        <f t="shared" ref="G59:G80" si="13">MIN($G$4,MAX($H$4,$F$4*(1-1*(1-(C59+N59)))))</f>
        <v>710</v>
      </c>
      <c r="H59" s="84">
        <f>(G59-G58)/G58</f>
        <v>0</v>
      </c>
      <c r="I59" s="82">
        <f t="shared" ref="I59:I78" si="14">IF(J59&gt;0,IF(ABS(J59)&gt;$H$8,I58*(1+SIGN(J59)*$H$8),G59),IF(ABS(J59)&gt;$H$9,I58*(1+SIGN(J59)*$H$9),G59))</f>
        <v>710</v>
      </c>
      <c r="J59" s="84">
        <f t="shared" ref="J59:J78" si="15">(G59-I58)/I58</f>
        <v>0</v>
      </c>
      <c r="K59" s="85">
        <f>(I59-I58)/I58</f>
        <v>0</v>
      </c>
      <c r="N59" s="18">
        <f t="shared" si="10"/>
        <v>9.5058153410447089E-3</v>
      </c>
    </row>
    <row r="60" spans="1:16" x14ac:dyDescent="0.25">
      <c r="A60" s="81">
        <v>2000</v>
      </c>
      <c r="B60" s="21">
        <f>IF($B$3="Trawl",Indices!B4,Indices!C4)</f>
        <v>16203</v>
      </c>
      <c r="C60" s="22">
        <f t="shared" si="11"/>
        <v>2.2690099425850723</v>
      </c>
      <c r="D60" s="21">
        <f>IF($C$3="Trawl",Indices!B4,Indices!C4)</f>
        <v>118677</v>
      </c>
      <c r="E60" s="22">
        <f t="shared" si="12"/>
        <v>0.94411385658143865</v>
      </c>
      <c r="F60" s="65"/>
      <c r="G60" s="82">
        <f t="shared" si="13"/>
        <v>710</v>
      </c>
      <c r="H60" s="84">
        <f t="shared" ref="H60:H78" si="16">(G60-G59)/G59</f>
        <v>0</v>
      </c>
      <c r="I60" s="82">
        <f t="shared" si="14"/>
        <v>710</v>
      </c>
      <c r="J60" s="84">
        <f t="shared" si="15"/>
        <v>0</v>
      </c>
      <c r="K60" s="85">
        <f>(I60-I59)/I59</f>
        <v>0</v>
      </c>
      <c r="N60" s="18">
        <f t="shared" si="10"/>
        <v>-1.956015019649647E-2</v>
      </c>
    </row>
    <row r="61" spans="1:16" x14ac:dyDescent="0.25">
      <c r="A61" s="81">
        <v>2001</v>
      </c>
      <c r="B61" s="21">
        <f>IF($B$3="Trawl",Indices!B5,Indices!C5)</f>
        <v>13780</v>
      </c>
      <c r="C61" s="22">
        <f t="shared" si="11"/>
        <v>1.9297017224478363</v>
      </c>
      <c r="D61" s="21">
        <f>IF($C$3="Trawl",Indices!B5,Indices!C5)</f>
        <v>141219</v>
      </c>
      <c r="E61" s="22">
        <f t="shared" si="12"/>
        <v>1.1234427455410416</v>
      </c>
      <c r="F61" s="65"/>
      <c r="G61" s="82">
        <f t="shared" si="13"/>
        <v>710</v>
      </c>
      <c r="H61" s="84">
        <f t="shared" si="16"/>
        <v>0</v>
      </c>
      <c r="I61" s="82">
        <f t="shared" si="14"/>
        <v>710</v>
      </c>
      <c r="J61" s="84">
        <f t="shared" si="15"/>
        <v>0</v>
      </c>
      <c r="K61" s="85">
        <f t="shared" ref="K61:K78" si="17">(I61-I60)/I60</f>
        <v>0</v>
      </c>
      <c r="N61" s="18">
        <f t="shared" si="10"/>
        <v>4.3204960939364566E-2</v>
      </c>
    </row>
    <row r="62" spans="1:16" x14ac:dyDescent="0.25">
      <c r="A62" s="81">
        <v>2002</v>
      </c>
      <c r="B62" s="21">
        <f>IF($B$3="Trawl",Indices!B6,Indices!C6)</f>
        <v>12104</v>
      </c>
      <c r="C62" s="22">
        <f t="shared" si="11"/>
        <v>1.6950007001820473</v>
      </c>
      <c r="D62" s="21">
        <f>IF($C$3="Trawl",Indices!B6,Indices!C6)</f>
        <v>101706</v>
      </c>
      <c r="E62" s="22">
        <f t="shared" si="12"/>
        <v>0.80910407153426356</v>
      </c>
      <c r="F62" s="65"/>
      <c r="G62" s="82">
        <f t="shared" si="13"/>
        <v>643.1339144615207</v>
      </c>
      <c r="H62" s="84">
        <f t="shared" si="16"/>
        <v>-9.4177585265463798E-2</v>
      </c>
      <c r="I62" s="82">
        <f t="shared" si="14"/>
        <v>643.1339144615207</v>
      </c>
      <c r="J62" s="84">
        <f t="shared" si="15"/>
        <v>-9.4177585265463798E-2</v>
      </c>
      <c r="K62" s="85">
        <f t="shared" si="17"/>
        <v>-9.4177585265463798E-2</v>
      </c>
      <c r="N62" s="18">
        <f t="shared" si="10"/>
        <v>-6.6813574963007744E-2</v>
      </c>
    </row>
    <row r="63" spans="1:16" x14ac:dyDescent="0.25">
      <c r="A63" s="81">
        <v>2003</v>
      </c>
      <c r="B63" s="21">
        <f>IF($B$3="Trawl",Indices!B7,Indices!C7)</f>
        <v>10866</v>
      </c>
      <c r="C63" s="22">
        <f t="shared" si="11"/>
        <v>1.5216356252625682</v>
      </c>
      <c r="D63" s="21">
        <f>IF($C$3="Trawl",Indices!B7,Indices!C7)</f>
        <v>132151</v>
      </c>
      <c r="E63" s="22">
        <f t="shared" si="12"/>
        <v>1.0513038774243846</v>
      </c>
      <c r="F63" s="65"/>
      <c r="G63" s="82">
        <f t="shared" si="13"/>
        <v>608.1388330326356</v>
      </c>
      <c r="H63" s="84">
        <f t="shared" si="16"/>
        <v>-5.4413366550861451E-2</v>
      </c>
      <c r="I63" s="82">
        <f t="shared" si="14"/>
        <v>608.1388330326356</v>
      </c>
      <c r="J63" s="84">
        <f t="shared" si="15"/>
        <v>-5.4413366550861451E-2</v>
      </c>
      <c r="K63" s="85">
        <f t="shared" si="17"/>
        <v>-5.4413366550861451E-2</v>
      </c>
      <c r="N63" s="18">
        <f t="shared" si="10"/>
        <v>1.7956357098534603E-2</v>
      </c>
    </row>
    <row r="64" spans="1:16" x14ac:dyDescent="0.25">
      <c r="A64" s="81">
        <v>2004</v>
      </c>
      <c r="B64" s="21">
        <f>IF($B$3="Trawl",Indices!B8,Indices!C8)</f>
        <v>9987</v>
      </c>
      <c r="C64" s="22">
        <f t="shared" si="11"/>
        <v>1.3985436213415487</v>
      </c>
      <c r="D64" s="21">
        <f>IF($C$3="Trawl",Indices!B8,Indices!C8)</f>
        <v>130075</v>
      </c>
      <c r="E64" s="22">
        <f t="shared" si="12"/>
        <v>1.0347886270703728</v>
      </c>
      <c r="F64" s="65"/>
      <c r="G64" s="82">
        <f t="shared" si="13"/>
        <v>557.23425812239077</v>
      </c>
      <c r="H64" s="84">
        <f t="shared" si="16"/>
        <v>-8.3705516150640313E-2</v>
      </c>
      <c r="I64" s="82">
        <f t="shared" si="14"/>
        <v>557.23425812239077</v>
      </c>
      <c r="J64" s="84">
        <f t="shared" si="15"/>
        <v>-8.3705516150640313E-2</v>
      </c>
      <c r="K64" s="85">
        <f t="shared" si="17"/>
        <v>-8.3705516150640313E-2</v>
      </c>
      <c r="N64" s="18">
        <f t="shared" si="10"/>
        <v>1.2176019474630472E-2</v>
      </c>
    </row>
    <row r="65" spans="1:14" x14ac:dyDescent="0.25">
      <c r="A65" s="81">
        <v>2005</v>
      </c>
      <c r="B65" s="21">
        <f>IF($B$3="Trawl",Indices!B9,Indices!C9)</f>
        <v>9550</v>
      </c>
      <c r="C65" s="22">
        <f t="shared" si="11"/>
        <v>1.3373477104047051</v>
      </c>
      <c r="D65" s="21">
        <f>IF($C$3="Trawl",Indices!B9,Indices!C9)</f>
        <v>132518</v>
      </c>
      <c r="E65" s="22">
        <f t="shared" si="12"/>
        <v>1.0542234809310911</v>
      </c>
      <c r="F65" s="65"/>
      <c r="G65" s="82">
        <f t="shared" si="13"/>
        <v>535.74874184858186</v>
      </c>
      <c r="H65" s="84">
        <f t="shared" si="16"/>
        <v>-3.8557421695867518E-2</v>
      </c>
      <c r="I65" s="82">
        <f t="shared" si="14"/>
        <v>535.74874184858186</v>
      </c>
      <c r="J65" s="84">
        <f t="shared" si="15"/>
        <v>-3.8557421695867518E-2</v>
      </c>
      <c r="K65" s="85">
        <f t="shared" si="17"/>
        <v>-3.8557421695867518E-2</v>
      </c>
      <c r="N65" s="18">
        <f t="shared" si="10"/>
        <v>1.8978218325881879E-2</v>
      </c>
    </row>
    <row r="66" spans="1:14" x14ac:dyDescent="0.25">
      <c r="A66" s="81">
        <v>2006</v>
      </c>
      <c r="B66" s="21">
        <f>IF($B$3="Trawl",Indices!B10,Indices!C10)</f>
        <v>9802</v>
      </c>
      <c r="C66" s="22">
        <f t="shared" si="11"/>
        <v>1.3726368855902535</v>
      </c>
      <c r="D66" s="21">
        <f>IF($C$3="Trawl",Indices!B10,Indices!C10)</f>
        <v>155964</v>
      </c>
      <c r="E66" s="22">
        <f t="shared" si="12"/>
        <v>1.2407439817982211</v>
      </c>
      <c r="F66" s="65"/>
      <c r="G66" s="82">
        <f t="shared" si="13"/>
        <v>575.47442529175419</v>
      </c>
      <c r="H66" s="84">
        <f t="shared" si="16"/>
        <v>7.4149839915816279E-2</v>
      </c>
      <c r="I66" s="82">
        <f t="shared" si="14"/>
        <v>575.47442529175419</v>
      </c>
      <c r="J66" s="84">
        <f t="shared" si="15"/>
        <v>7.4149839915816279E-2</v>
      </c>
      <c r="K66" s="85">
        <f t="shared" si="17"/>
        <v>7.4149839915816279E-2</v>
      </c>
      <c r="N66" s="18">
        <f t="shared" si="10"/>
        <v>8.4260393629377373E-2</v>
      </c>
    </row>
    <row r="67" spans="1:14" x14ac:dyDescent="0.25">
      <c r="A67" s="81">
        <v>2007</v>
      </c>
      <c r="B67" s="21">
        <f>IF($B$3="Trawl",Indices!B11,Indices!C11)</f>
        <v>9673</v>
      </c>
      <c r="C67" s="22">
        <f t="shared" si="11"/>
        <v>1.35457218876908</v>
      </c>
      <c r="D67" s="21">
        <f>IF($C$3="Trawl",Indices!B11,Indices!C11)</f>
        <v>143903</v>
      </c>
      <c r="E67" s="22">
        <f t="shared" si="12"/>
        <v>1.1447948322222399</v>
      </c>
      <c r="F67" s="65"/>
      <c r="G67" s="82">
        <f t="shared" si="13"/>
        <v>555.07390011851135</v>
      </c>
      <c r="H67" s="84">
        <f t="shared" si="16"/>
        <v>-3.5449924925682275E-2</v>
      </c>
      <c r="I67" s="82">
        <f t="shared" si="14"/>
        <v>555.07390011851135</v>
      </c>
      <c r="J67" s="84">
        <f t="shared" si="15"/>
        <v>-3.5449924925682275E-2</v>
      </c>
      <c r="K67" s="85">
        <f t="shared" si="17"/>
        <v>-3.5449924925682275E-2</v>
      </c>
      <c r="N67" s="18">
        <f t="shared" si="10"/>
        <v>5.0678191277783953E-2</v>
      </c>
    </row>
    <row r="68" spans="1:14" x14ac:dyDescent="0.25">
      <c r="A68" s="81">
        <v>2008</v>
      </c>
      <c r="B68" s="21">
        <f>IF($B$3="Trawl",Indices!B12,Indices!C12)</f>
        <v>10264</v>
      </c>
      <c r="C68" s="22">
        <f t="shared" si="11"/>
        <v>1.4373337067637586</v>
      </c>
      <c r="D68" s="21">
        <f>IF($C$3="Trawl",Indices!B12,Indices!C12)</f>
        <v>140247</v>
      </c>
      <c r="E68" s="22">
        <f t="shared" si="12"/>
        <v>1.1157101716758684</v>
      </c>
      <c r="F68" s="65"/>
      <c r="G68" s="82">
        <f t="shared" si="13"/>
        <v>583.74374540587348</v>
      </c>
      <c r="H68" s="84">
        <f t="shared" si="16"/>
        <v>5.1650501457987788E-2</v>
      </c>
      <c r="I68" s="82">
        <f t="shared" si="14"/>
        <v>583.74374540587348</v>
      </c>
      <c r="J68" s="84">
        <f t="shared" si="15"/>
        <v>5.1650501457987788E-2</v>
      </c>
      <c r="K68" s="85">
        <f t="shared" si="17"/>
        <v>5.1650501457987788E-2</v>
      </c>
      <c r="N68" s="18">
        <f t="shared" si="10"/>
        <v>4.0498560086553934E-2</v>
      </c>
    </row>
    <row r="69" spans="1:14" x14ac:dyDescent="0.25">
      <c r="A69" s="81">
        <v>2009</v>
      </c>
      <c r="B69" s="21">
        <f>IF($B$3="Trawl",Indices!B13,Indices!C13)</f>
        <v>9834</v>
      </c>
      <c r="C69" s="22">
        <f t="shared" si="11"/>
        <v>1.3771180506931802</v>
      </c>
      <c r="D69" s="21">
        <f>IF($C$3="Trawl",Indices!B13,Indices!C13)</f>
        <v>168102</v>
      </c>
      <c r="E69" s="22">
        <f t="shared" si="12"/>
        <v>1.3373056912380072</v>
      </c>
      <c r="F69" s="65"/>
      <c r="G69" s="82">
        <f t="shared" si="13"/>
        <v>590.59414183746071</v>
      </c>
      <c r="H69" s="84">
        <f t="shared" si="16"/>
        <v>1.1735280224414548E-2</v>
      </c>
      <c r="I69" s="82">
        <f t="shared" si="14"/>
        <v>590.59414183746071</v>
      </c>
      <c r="J69" s="84">
        <f t="shared" si="15"/>
        <v>1.1735280224414548E-2</v>
      </c>
      <c r="K69" s="85">
        <f t="shared" si="17"/>
        <v>1.1735280224414548E-2</v>
      </c>
      <c r="N69" s="18">
        <f t="shared" si="10"/>
        <v>0.11805699193330253</v>
      </c>
    </row>
    <row r="70" spans="1:14" x14ac:dyDescent="0.25">
      <c r="A70" s="81">
        <v>2010</v>
      </c>
      <c r="B70" s="21">
        <f>IF($B$3="Trawl",Indices!B14,Indices!C14)</f>
        <v>9146</v>
      </c>
      <c r="C70" s="22">
        <f t="shared" si="11"/>
        <v>1.2807730009802549</v>
      </c>
      <c r="D70" s="21">
        <f>IF($C$3="Trawl",Indices!B14,Indices!C14)</f>
        <v>195535</v>
      </c>
      <c r="E70" s="22">
        <f t="shared" si="12"/>
        <v>1.5555440645335794</v>
      </c>
      <c r="F70" s="65"/>
      <c r="G70" s="82">
        <f t="shared" si="13"/>
        <v>582.70930230896806</v>
      </c>
      <c r="H70" s="84">
        <f t="shared" si="16"/>
        <v>-1.3350690380980209E-2</v>
      </c>
      <c r="I70" s="82">
        <f t="shared" si="14"/>
        <v>582.70930230896806</v>
      </c>
      <c r="J70" s="84">
        <f t="shared" si="15"/>
        <v>-1.3350690380980209E-2</v>
      </c>
      <c r="K70" s="85">
        <f t="shared" si="17"/>
        <v>-1.3350690380980209E-2</v>
      </c>
      <c r="N70" s="18">
        <f t="shared" si="10"/>
        <v>0.19444042258675279</v>
      </c>
    </row>
    <row r="71" spans="1:14" x14ac:dyDescent="0.25">
      <c r="A71" s="81">
        <v>2011</v>
      </c>
      <c r="B71" s="21">
        <f>IF($B$3="Trawl",Indices!B15,Indices!C15)</f>
        <v>8669</v>
      </c>
      <c r="C71" s="22">
        <f t="shared" si="11"/>
        <v>1.2139756336647529</v>
      </c>
      <c r="D71" s="21">
        <f>IF($C$3="Trawl",Indices!B15,Indices!C15)</f>
        <v>186666</v>
      </c>
      <c r="E71" s="22">
        <f t="shared" si="12"/>
        <v>1.4849883056753275</v>
      </c>
      <c r="F71" s="65"/>
      <c r="G71" s="82">
        <f t="shared" si="13"/>
        <v>546.5700085571915</v>
      </c>
      <c r="H71" s="84">
        <f t="shared" si="16"/>
        <v>-6.2019421362548531E-2</v>
      </c>
      <c r="I71" s="82">
        <f t="shared" si="14"/>
        <v>546.5700085571915</v>
      </c>
      <c r="J71" s="84">
        <f t="shared" si="15"/>
        <v>-6.2019421362548531E-2</v>
      </c>
      <c r="K71" s="85">
        <f t="shared" si="17"/>
        <v>-6.2019421362548531E-2</v>
      </c>
      <c r="N71" s="18">
        <f t="shared" si="10"/>
        <v>0.1697459069863646</v>
      </c>
    </row>
    <row r="72" spans="1:14" x14ac:dyDescent="0.25">
      <c r="A72" s="81">
        <v>2012</v>
      </c>
      <c r="B72" s="21">
        <f>IF($B$3="Trawl",Indices!B16,Indices!C16)</f>
        <v>8403</v>
      </c>
      <c r="C72" s="22">
        <f t="shared" si="11"/>
        <v>1.1767259487466741</v>
      </c>
      <c r="D72" s="21">
        <f>IF($C$3="Trawl",Indices!B16,Indices!C16)</f>
        <v>189000</v>
      </c>
      <c r="E72" s="22">
        <f t="shared" si="12"/>
        <v>1.5035560293392309</v>
      </c>
      <c r="F72" s="65"/>
      <c r="G72" s="82">
        <f t="shared" si="13"/>
        <v>534.42337081108496</v>
      </c>
      <c r="H72" s="84">
        <f t="shared" si="16"/>
        <v>-2.2223388689347645E-2</v>
      </c>
      <c r="I72" s="82">
        <f t="shared" si="14"/>
        <v>534.42337081108496</v>
      </c>
      <c r="J72" s="84">
        <f t="shared" si="15"/>
        <v>-2.2223388689347645E-2</v>
      </c>
      <c r="K72" s="85">
        <f t="shared" si="17"/>
        <v>-2.2223388689347645E-2</v>
      </c>
      <c r="N72" s="18">
        <f t="shared" si="10"/>
        <v>0.17624461026873081</v>
      </c>
    </row>
    <row r="73" spans="1:14" x14ac:dyDescent="0.25">
      <c r="A73" s="81">
        <v>2013</v>
      </c>
      <c r="B73" s="21">
        <f>IF($B$3="Trawl",Indices!B17,Indices!C17)</f>
        <v>7989</v>
      </c>
      <c r="C73" s="22">
        <f t="shared" si="11"/>
        <v>1.1187508752275592</v>
      </c>
      <c r="D73" s="21">
        <f>IF($C$3="Trawl",Indices!B17,Indices!C17)</f>
        <v>183989</v>
      </c>
      <c r="E73" s="22">
        <f t="shared" si="12"/>
        <v>1.4636919062544749</v>
      </c>
      <c r="F73" s="65"/>
      <c r="G73" s="82">
        <f t="shared" si="13"/>
        <v>506.01200175456705</v>
      </c>
      <c r="H73" s="84">
        <f t="shared" si="16"/>
        <v>-5.3162662054615006E-2</v>
      </c>
      <c r="I73" s="82">
        <f t="shared" si="14"/>
        <v>506.01200175456705</v>
      </c>
      <c r="J73" s="84">
        <f t="shared" si="15"/>
        <v>-5.3162662054615006E-2</v>
      </c>
      <c r="K73" s="85">
        <f t="shared" si="17"/>
        <v>-5.3162662054615006E-2</v>
      </c>
      <c r="N73" s="18">
        <f t="shared" si="10"/>
        <v>0.16229216718906619</v>
      </c>
    </row>
    <row r="74" spans="1:14" x14ac:dyDescent="0.25">
      <c r="A74" s="81">
        <v>2014</v>
      </c>
      <c r="B74" s="21">
        <f>IF($B$3="Trawl",Indices!B18,Indices!C18)</f>
        <v>7995</v>
      </c>
      <c r="C74" s="22">
        <f t="shared" si="11"/>
        <v>1.1195910936843578</v>
      </c>
      <c r="D74" s="21">
        <f>IF($C$3="Trawl",Indices!B18,Indices!C18)</f>
        <v>171427</v>
      </c>
      <c r="E74" s="22">
        <f t="shared" si="12"/>
        <v>1.3637571399023087</v>
      </c>
      <c r="F74" s="65"/>
      <c r="G74" s="82">
        <f t="shared" si="13"/>
        <v>492.52790659681551</v>
      </c>
      <c r="H74" s="84">
        <f t="shared" si="16"/>
        <v>-2.6647777347170082E-2</v>
      </c>
      <c r="I74" s="82">
        <f t="shared" si="14"/>
        <v>492.52790659681551</v>
      </c>
      <c r="J74" s="84">
        <f t="shared" si="15"/>
        <v>-2.6647777347170082E-2</v>
      </c>
      <c r="K74" s="85">
        <f t="shared" si="17"/>
        <v>-2.6647777347170082E-2</v>
      </c>
      <c r="N74" s="18">
        <f t="shared" si="10"/>
        <v>0.12731499896580806</v>
      </c>
    </row>
    <row r="75" spans="1:14" x14ac:dyDescent="0.25">
      <c r="A75" s="81">
        <v>2015</v>
      </c>
      <c r="B75" s="21">
        <f>IF($B$3="Trawl",Indices!B19,Indices!C19)</f>
        <v>8130</v>
      </c>
      <c r="C75" s="22">
        <f t="shared" si="11"/>
        <v>1.1384960089623302</v>
      </c>
      <c r="D75" s="21">
        <f>IF($C$3="Trawl",Indices!B19,Indices!C19)</f>
        <v>172237</v>
      </c>
      <c r="E75" s="22">
        <f t="shared" si="12"/>
        <v>1.3702009514566196</v>
      </c>
      <c r="F75" s="65"/>
      <c r="G75" s="82">
        <f t="shared" si="13"/>
        <v>500.88620507899805</v>
      </c>
      <c r="H75" s="84">
        <f t="shared" si="16"/>
        <v>1.6970202845835204E-2</v>
      </c>
      <c r="I75" s="82">
        <f t="shared" si="14"/>
        <v>500.88620507899805</v>
      </c>
      <c r="J75" s="84">
        <f t="shared" si="15"/>
        <v>1.6970202845835204E-2</v>
      </c>
      <c r="K75" s="85">
        <f t="shared" si="17"/>
        <v>1.6970202845835204E-2</v>
      </c>
      <c r="N75" s="18">
        <f t="shared" si="10"/>
        <v>0.12957033300981685</v>
      </c>
    </row>
    <row r="76" spans="1:14" x14ac:dyDescent="0.25">
      <c r="A76" s="81">
        <v>2016</v>
      </c>
      <c r="B76" s="21">
        <f>IF($B$3="Trawl",Indices!B20,Indices!C20)</f>
        <v>7826</v>
      </c>
      <c r="C76" s="22">
        <f t="shared" si="11"/>
        <v>1.0959249404845259</v>
      </c>
      <c r="D76" s="21">
        <f>IF($C$3="Trawl",Indices!B20,Indices!C20)</f>
        <v>153704</v>
      </c>
      <c r="E76" s="22">
        <f t="shared" si="12"/>
        <v>1.2227649520294028</v>
      </c>
      <c r="F76" s="65"/>
      <c r="G76" s="82">
        <f t="shared" si="13"/>
        <v>463.6876061094527</v>
      </c>
      <c r="H76" s="84">
        <f t="shared" si="16"/>
        <v>-7.426556889039998E-2</v>
      </c>
      <c r="I76" s="82">
        <f t="shared" si="14"/>
        <v>463.6876061094527</v>
      </c>
      <c r="J76" s="84">
        <f t="shared" si="15"/>
        <v>-7.426556889039998E-2</v>
      </c>
      <c r="K76" s="85">
        <f t="shared" si="17"/>
        <v>-7.426556889039998E-2</v>
      </c>
      <c r="N76" s="18">
        <f t="shared" si="10"/>
        <v>7.796773321029099E-2</v>
      </c>
    </row>
    <row r="77" spans="1:14" x14ac:dyDescent="0.25">
      <c r="A77" s="81">
        <v>2017</v>
      </c>
      <c r="B77" s="21">
        <f>IF($B$3="Trawl",Indices!B21,Indices!C21)</f>
        <v>7250</v>
      </c>
      <c r="C77" s="22">
        <f t="shared" si="11"/>
        <v>1.0152639686318443</v>
      </c>
      <c r="D77" s="21">
        <f>IF($C$3="Trawl",Indices!B21,Indices!C21)</f>
        <v>126684</v>
      </c>
      <c r="E77" s="22">
        <f t="shared" si="12"/>
        <v>1.0078121270942388</v>
      </c>
      <c r="F77" s="65"/>
      <c r="G77" s="82">
        <f t="shared" si="13"/>
        <v>402.10929418035704</v>
      </c>
      <c r="H77" s="84">
        <f t="shared" si="16"/>
        <v>-0.13280128931149435</v>
      </c>
      <c r="I77" s="82">
        <f t="shared" si="14"/>
        <v>402.10929418035704</v>
      </c>
      <c r="J77" s="84">
        <f t="shared" si="15"/>
        <v>-0.13280128931149435</v>
      </c>
      <c r="K77" s="85">
        <f t="shared" si="17"/>
        <v>-0.13280128931149435</v>
      </c>
      <c r="N77" s="18">
        <f t="shared" si="10"/>
        <v>2.7342444829835943E-3</v>
      </c>
    </row>
    <row r="78" spans="1:14" x14ac:dyDescent="0.25">
      <c r="A78" s="81">
        <v>2018</v>
      </c>
      <c r="B78" s="21">
        <f>IF($B$3="Trawl",Indices!B22,Indices!C22)</f>
        <v>7141</v>
      </c>
      <c r="C78" s="22">
        <f t="shared" si="11"/>
        <v>1</v>
      </c>
      <c r="D78" s="21">
        <f>IF($C$3="Trawl",Indices!B22,Indices!C22)</f>
        <v>125702</v>
      </c>
      <c r="E78" s="22">
        <f t="shared" si="12"/>
        <v>1</v>
      </c>
      <c r="F78" s="65"/>
      <c r="G78" s="82">
        <f t="shared" si="13"/>
        <v>395</v>
      </c>
      <c r="H78" s="84">
        <f t="shared" si="16"/>
        <v>-1.7680004623738754E-2</v>
      </c>
      <c r="I78" s="82">
        <f t="shared" si="14"/>
        <v>395</v>
      </c>
      <c r="J78" s="84">
        <f t="shared" si="15"/>
        <v>-1.7680004623738754E-2</v>
      </c>
      <c r="K78" s="85">
        <f t="shared" si="17"/>
        <v>-1.7680004623738754E-2</v>
      </c>
    </row>
    <row r="79" spans="1:14" x14ac:dyDescent="0.25">
      <c r="A79" s="81"/>
      <c r="B79" s="21"/>
      <c r="C79" s="21"/>
      <c r="D79" s="21"/>
      <c r="E79" s="21"/>
      <c r="F79" s="65"/>
      <c r="G79" s="21"/>
      <c r="H79" s="21"/>
      <c r="I79" s="21"/>
      <c r="J79" s="65"/>
      <c r="K79" s="83"/>
      <c r="N79" s="18"/>
    </row>
    <row r="80" spans="1:14" ht="15.75" thickBot="1" x14ac:dyDescent="0.3">
      <c r="A80" s="86" t="s">
        <v>13</v>
      </c>
      <c r="B80" s="87">
        <v>9000</v>
      </c>
      <c r="C80" s="91">
        <f t="shared" si="11"/>
        <v>1.2603276851981515</v>
      </c>
      <c r="D80" s="87">
        <v>100000</v>
      </c>
      <c r="E80" s="91">
        <f t="shared" si="12"/>
        <v>0.79553229065567777</v>
      </c>
      <c r="F80" s="87"/>
      <c r="G80" s="88">
        <f t="shared" si="13"/>
        <v>469.56177483641733</v>
      </c>
      <c r="H80" s="89">
        <f>(G80-G77)/G77</f>
        <v>0.16774663414222404</v>
      </c>
      <c r="I80" s="88">
        <f>IF(ABS(J80)&gt;$H$8,I77*(1+SIGN(J80)*$H$8),G80)</f>
        <v>469.56177483641733</v>
      </c>
      <c r="J80" s="89">
        <f>(G80-I77)/I77</f>
        <v>0.16774663414222404</v>
      </c>
      <c r="K80" s="90">
        <f>(I80-I77)/I77</f>
        <v>0.16774663414222404</v>
      </c>
      <c r="N80" s="18">
        <f>IF(E80&lt;$B$7,$E$8*(E80-$B$7),IF(E80&gt;$B$8,$E$9*(E80-$B$8),0))</f>
        <v>-7.1563698270512774E-2</v>
      </c>
    </row>
  </sheetData>
  <mergeCells count="6">
    <mergeCell ref="A56:K56"/>
    <mergeCell ref="A6:B6"/>
    <mergeCell ref="D7:E7"/>
    <mergeCell ref="G7:H7"/>
    <mergeCell ref="A10:C10"/>
    <mergeCell ref="A30:K30"/>
  </mergeCells>
  <conditionalFormatting sqref="AB33:BC51 O57:AZ60 R55:BC56 AB53:BC54 O62:AZ94">
    <cfRule type="colorScale" priority="11">
      <colorScale>
        <cfvo type="min"/>
        <cfvo type="percentile" val="50"/>
        <cfvo type="max"/>
        <color rgb="FFF8696B"/>
        <color rgb="FFFFEB84"/>
        <color rgb="FF63BE7B"/>
      </colorScale>
    </cfRule>
  </conditionalFormatting>
  <conditionalFormatting sqref="E32:E52">
    <cfRule type="cellIs" dxfId="13" priority="12" operator="lessThan">
      <formula>$B$7</formula>
    </cfRule>
    <cfRule type="cellIs" dxfId="12" priority="13" operator="greaterThan">
      <formula>$B$8</formula>
    </cfRule>
  </conditionalFormatting>
  <conditionalFormatting sqref="G54 G32:G52">
    <cfRule type="expression" dxfId="11" priority="14">
      <formula>G32&lt;=$H$3</formula>
    </cfRule>
    <cfRule type="expression" dxfId="10" priority="15">
      <formula>G32&gt;=$G$3</formula>
    </cfRule>
  </conditionalFormatting>
  <conditionalFormatting sqref="E58:E78">
    <cfRule type="cellIs" dxfId="9" priority="7" operator="lessThan">
      <formula>$B$7</formula>
    </cfRule>
    <cfRule type="cellIs" dxfId="8" priority="8" operator="greaterThan">
      <formula>$B$8</formula>
    </cfRule>
  </conditionalFormatting>
  <conditionalFormatting sqref="G58:G78 G80">
    <cfRule type="expression" dxfId="7" priority="9">
      <formula>G58&lt;=$H$4</formula>
    </cfRule>
    <cfRule type="expression" dxfId="6" priority="10">
      <formula>G58&gt;=$G$4</formula>
    </cfRule>
  </conditionalFormatting>
  <conditionalFormatting sqref="E80">
    <cfRule type="cellIs" dxfId="5" priority="5" operator="lessThan">
      <formula>$B$7</formula>
    </cfRule>
    <cfRule type="cellIs" dxfId="4" priority="6" operator="greaterThan">
      <formula>$B$8</formula>
    </cfRule>
  </conditionalFormatting>
  <conditionalFormatting sqref="I54 I32:I52">
    <cfRule type="expression" dxfId="3" priority="3">
      <formula>I32&lt;=$H$3</formula>
    </cfRule>
    <cfRule type="expression" dxfId="2" priority="4">
      <formula>I32&gt;=$G$3</formula>
    </cfRule>
  </conditionalFormatting>
  <conditionalFormatting sqref="I58:I78 I80">
    <cfRule type="expression" dxfId="1" priority="1">
      <formula>I58&lt;=$H$4</formula>
    </cfRule>
    <cfRule type="expression" dxfId="0" priority="2">
      <formula>I58&gt;=$G$4</formula>
    </cfRule>
  </conditionalFormatting>
  <pageMargins left="0.7" right="0.7" top="0.75" bottom="0.75" header="0.3" footer="0.3"/>
  <pageSetup orientation="portrait" horizontalDpi="0"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25"/>
  <sheetViews>
    <sheetView workbookViewId="0">
      <selection activeCell="B33" sqref="B33"/>
    </sheetView>
  </sheetViews>
  <sheetFormatPr defaultRowHeight="15" x14ac:dyDescent="0.25"/>
  <cols>
    <col min="2" max="3" width="14" customWidth="1"/>
  </cols>
  <sheetData>
    <row r="1" spans="1:3" x14ac:dyDescent="0.25">
      <c r="A1" s="8" t="s">
        <v>0</v>
      </c>
      <c r="B1" s="5" t="s">
        <v>20</v>
      </c>
      <c r="C1" s="5" t="s">
        <v>21</v>
      </c>
    </row>
    <row r="2" spans="1:3" x14ac:dyDescent="0.25">
      <c r="A2" s="3">
        <v>1998</v>
      </c>
      <c r="B2" s="2">
        <v>161256</v>
      </c>
      <c r="C2" s="2">
        <v>18502</v>
      </c>
    </row>
    <row r="3" spans="1:3" x14ac:dyDescent="0.25">
      <c r="A3" s="3">
        <v>1999</v>
      </c>
      <c r="B3" s="2">
        <v>129116</v>
      </c>
      <c r="C3" s="2">
        <v>16201</v>
      </c>
    </row>
    <row r="4" spans="1:3" x14ac:dyDescent="0.25">
      <c r="A4" s="3">
        <v>2000</v>
      </c>
      <c r="B4" s="2">
        <v>118677</v>
      </c>
      <c r="C4" s="2">
        <v>16203</v>
      </c>
    </row>
    <row r="5" spans="1:3" x14ac:dyDescent="0.25">
      <c r="A5" s="3">
        <v>2001</v>
      </c>
      <c r="B5" s="2">
        <v>141219</v>
      </c>
      <c r="C5" s="2">
        <v>13780</v>
      </c>
    </row>
    <row r="6" spans="1:3" x14ac:dyDescent="0.25">
      <c r="A6" s="3">
        <v>2002</v>
      </c>
      <c r="B6" s="2">
        <v>101706</v>
      </c>
      <c r="C6" s="2">
        <v>12104</v>
      </c>
    </row>
    <row r="7" spans="1:3" x14ac:dyDescent="0.25">
      <c r="A7" s="3">
        <v>2003</v>
      </c>
      <c r="B7" s="2">
        <v>132151</v>
      </c>
      <c r="C7" s="2">
        <v>10866</v>
      </c>
    </row>
    <row r="8" spans="1:3" x14ac:dyDescent="0.25">
      <c r="A8" s="3">
        <v>2004</v>
      </c>
      <c r="B8" s="2">
        <v>130075</v>
      </c>
      <c r="C8" s="2">
        <v>9987</v>
      </c>
    </row>
    <row r="9" spans="1:3" x14ac:dyDescent="0.25">
      <c r="A9" s="3">
        <v>2005</v>
      </c>
      <c r="B9" s="2">
        <v>132518</v>
      </c>
      <c r="C9" s="2">
        <v>9550</v>
      </c>
    </row>
    <row r="10" spans="1:3" x14ac:dyDescent="0.25">
      <c r="A10" s="3">
        <v>2006</v>
      </c>
      <c r="B10" s="2">
        <v>155964</v>
      </c>
      <c r="C10" s="2">
        <v>9802</v>
      </c>
    </row>
    <row r="11" spans="1:3" x14ac:dyDescent="0.25">
      <c r="A11" s="3">
        <v>2007</v>
      </c>
      <c r="B11" s="2">
        <v>143903</v>
      </c>
      <c r="C11" s="2">
        <v>9673</v>
      </c>
    </row>
    <row r="12" spans="1:3" x14ac:dyDescent="0.25">
      <c r="A12" s="3">
        <v>2008</v>
      </c>
      <c r="B12" s="2">
        <v>140247</v>
      </c>
      <c r="C12" s="2">
        <v>10264</v>
      </c>
    </row>
    <row r="13" spans="1:3" x14ac:dyDescent="0.25">
      <c r="A13" s="3">
        <v>2009</v>
      </c>
      <c r="B13" s="2">
        <v>168102</v>
      </c>
      <c r="C13" s="2">
        <v>9834</v>
      </c>
    </row>
    <row r="14" spans="1:3" x14ac:dyDescent="0.25">
      <c r="A14" s="3">
        <v>2010</v>
      </c>
      <c r="B14" s="2">
        <v>195535</v>
      </c>
      <c r="C14" s="2">
        <v>9146</v>
      </c>
    </row>
    <row r="15" spans="1:3" x14ac:dyDescent="0.25">
      <c r="A15" s="3">
        <v>2011</v>
      </c>
      <c r="B15" s="2">
        <v>186666</v>
      </c>
      <c r="C15" s="2">
        <v>8669</v>
      </c>
    </row>
    <row r="16" spans="1:3" x14ac:dyDescent="0.25">
      <c r="A16" s="3">
        <v>2012</v>
      </c>
      <c r="B16" s="2">
        <v>189000</v>
      </c>
      <c r="C16" s="2">
        <v>8403</v>
      </c>
    </row>
    <row r="17" spans="1:3" x14ac:dyDescent="0.25">
      <c r="A17" s="3">
        <v>2013</v>
      </c>
      <c r="B17" s="2">
        <v>183989</v>
      </c>
      <c r="C17" s="2">
        <v>7989</v>
      </c>
    </row>
    <row r="18" spans="1:3" x14ac:dyDescent="0.25">
      <c r="A18" s="3">
        <v>2014</v>
      </c>
      <c r="B18" s="2">
        <v>171427</v>
      </c>
      <c r="C18" s="2">
        <v>7995</v>
      </c>
    </row>
    <row r="19" spans="1:3" x14ac:dyDescent="0.25">
      <c r="A19" s="3">
        <v>2015</v>
      </c>
      <c r="B19" s="2">
        <v>172237</v>
      </c>
      <c r="C19" s="2">
        <v>8130</v>
      </c>
    </row>
    <row r="20" spans="1:3" x14ac:dyDescent="0.25">
      <c r="A20" s="3">
        <v>2016</v>
      </c>
      <c r="B20" s="2">
        <v>153704</v>
      </c>
      <c r="C20" s="2">
        <v>7826</v>
      </c>
    </row>
    <row r="21" spans="1:3" x14ac:dyDescent="0.25">
      <c r="A21" s="3">
        <v>2017</v>
      </c>
      <c r="B21" s="2">
        <v>126684</v>
      </c>
      <c r="C21" s="2">
        <v>7250</v>
      </c>
    </row>
    <row r="22" spans="1:3" x14ac:dyDescent="0.25">
      <c r="A22" s="111">
        <v>2018</v>
      </c>
      <c r="B22" s="25">
        <v>125702</v>
      </c>
      <c r="C22" s="25">
        <v>7141</v>
      </c>
    </row>
    <row r="23" spans="1:3" x14ac:dyDescent="0.25">
      <c r="A23" t="s">
        <v>83</v>
      </c>
      <c r="B23" s="110">
        <f>AVERAGE(B2:B22)</f>
        <v>150470.38095238095</v>
      </c>
      <c r="C23" s="110">
        <f>AVERAGE(C2:C22)</f>
        <v>10443.571428571429</v>
      </c>
    </row>
    <row r="25" spans="1:3" x14ac:dyDescent="0.25">
      <c r="A25" s="138" t="s">
        <v>95</v>
      </c>
    </row>
  </sheetData>
  <pageMargins left="0.7" right="0.7" top="0.75" bottom="0.75" header="0.3" footer="0.3"/>
  <pageSetup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23"/>
  <sheetViews>
    <sheetView workbookViewId="0">
      <selection activeCell="A25" sqref="A25"/>
    </sheetView>
  </sheetViews>
  <sheetFormatPr defaultRowHeight="15" x14ac:dyDescent="0.25"/>
  <cols>
    <col min="1" max="1" width="13" style="3" customWidth="1"/>
    <col min="2" max="3" width="11.7109375" style="2" customWidth="1"/>
    <col min="4" max="7" width="8.5703125" style="2" customWidth="1"/>
    <col min="8" max="8" width="9.140625" style="2"/>
    <col min="9" max="9" width="9" style="2"/>
    <col min="10" max="10" width="9.140625" style="2"/>
    <col min="11" max="12" width="9" style="2"/>
    <col min="13" max="16" width="9.140625" style="2" customWidth="1"/>
    <col min="17" max="17" width="9.140625" style="2"/>
    <col min="18" max="19" width="9" style="2"/>
    <col min="20" max="20" width="14.28515625" style="2" customWidth="1"/>
  </cols>
  <sheetData>
    <row r="1" spans="1:23" x14ac:dyDescent="0.25">
      <c r="A1" s="29" t="s">
        <v>43</v>
      </c>
      <c r="B1" s="32"/>
      <c r="C1" s="32"/>
      <c r="D1" s="168">
        <v>1</v>
      </c>
      <c r="E1" s="169"/>
      <c r="F1" s="170" t="s">
        <v>47</v>
      </c>
      <c r="G1" s="171"/>
      <c r="H1" s="165" t="s">
        <v>45</v>
      </c>
      <c r="I1" s="166"/>
      <c r="J1" s="165" t="s">
        <v>46</v>
      </c>
      <c r="K1" s="166"/>
      <c r="L1" s="167" t="s">
        <v>44</v>
      </c>
      <c r="M1" s="166"/>
      <c r="N1" s="165" t="s">
        <v>48</v>
      </c>
      <c r="O1" s="166"/>
      <c r="P1" s="165" t="s">
        <v>96</v>
      </c>
      <c r="Q1" s="166"/>
      <c r="R1" s="167" t="s">
        <v>97</v>
      </c>
      <c r="S1" s="166"/>
      <c r="T1"/>
      <c r="U1" s="5"/>
      <c r="V1" s="5"/>
      <c r="W1" s="5"/>
    </row>
    <row r="2" spans="1:23" ht="60" x14ac:dyDescent="0.25">
      <c r="A2" s="139" t="s">
        <v>0</v>
      </c>
      <c r="B2" s="140" t="s">
        <v>24</v>
      </c>
      <c r="C2" s="140" t="s">
        <v>25</v>
      </c>
      <c r="D2" s="141" t="s">
        <v>20</v>
      </c>
      <c r="E2" s="142" t="s">
        <v>49</v>
      </c>
      <c r="F2" s="141" t="s">
        <v>20</v>
      </c>
      <c r="G2" s="142" t="s">
        <v>49</v>
      </c>
      <c r="H2" s="141" t="s">
        <v>20</v>
      </c>
      <c r="I2" s="142" t="s">
        <v>49</v>
      </c>
      <c r="J2" s="141" t="s">
        <v>20</v>
      </c>
      <c r="K2" s="142" t="s">
        <v>49</v>
      </c>
      <c r="L2" s="140" t="s">
        <v>20</v>
      </c>
      <c r="M2" s="142" t="s">
        <v>49</v>
      </c>
      <c r="N2" s="141" t="s">
        <v>20</v>
      </c>
      <c r="O2" s="142" t="s">
        <v>49</v>
      </c>
      <c r="P2" s="141" t="s">
        <v>20</v>
      </c>
      <c r="Q2" s="142" t="s">
        <v>49</v>
      </c>
      <c r="R2" s="140" t="s">
        <v>20</v>
      </c>
      <c r="S2" s="142" t="s">
        <v>49</v>
      </c>
      <c r="T2"/>
      <c r="U2" s="5" t="s">
        <v>41</v>
      </c>
      <c r="V2" s="5" t="s">
        <v>34</v>
      </c>
      <c r="W2" s="5" t="s">
        <v>35</v>
      </c>
    </row>
    <row r="3" spans="1:23" x14ac:dyDescent="0.25">
      <c r="A3" s="20">
        <v>1998</v>
      </c>
      <c r="B3" s="21">
        <f>Indices!B2</f>
        <v>161256</v>
      </c>
      <c r="C3" s="21">
        <f>Indices!C2</f>
        <v>18502</v>
      </c>
      <c r="D3" s="105">
        <f>'Alt1'!G15</f>
        <v>2805</v>
      </c>
      <c r="E3" s="106">
        <f>'Alt1'!H15</f>
        <v>710</v>
      </c>
      <c r="F3" s="105">
        <f>'Alt2-1'!G32</f>
        <v>3532</v>
      </c>
      <c r="G3" s="106">
        <f>'Alt2-1'!G58</f>
        <v>894</v>
      </c>
      <c r="H3" s="105">
        <f>'Alt2-2'!D32</f>
        <v>2025</v>
      </c>
      <c r="I3" s="106">
        <f>'Alt2-2'!J32</f>
        <v>894</v>
      </c>
      <c r="J3" s="105">
        <f>'Alt2-3'!G32</f>
        <v>3532</v>
      </c>
      <c r="K3" s="106">
        <f>'Alt2-3'!G58</f>
        <v>894</v>
      </c>
      <c r="L3" s="117">
        <f>'Alt2-4'!G32</f>
        <v>2805</v>
      </c>
      <c r="M3" s="117">
        <f>'Alt2-4'!G58</f>
        <v>710</v>
      </c>
      <c r="N3" s="105">
        <f>'Alt3-1'!I32</f>
        <v>3532</v>
      </c>
      <c r="O3" s="106">
        <f>'Alt3-1'!I58</f>
        <v>894</v>
      </c>
      <c r="P3" s="105">
        <f>'Alt3-2a'!I32</f>
        <v>3241.2</v>
      </c>
      <c r="Q3" s="106">
        <f>'Alt3-2a'!I72</f>
        <v>820.39999999999986</v>
      </c>
      <c r="R3" s="117">
        <f>'Alt3-3a'!I32</f>
        <v>2805</v>
      </c>
      <c r="S3" s="106">
        <f>'Alt3-3a'!I58</f>
        <v>710</v>
      </c>
      <c r="T3"/>
      <c r="U3" s="2">
        <v>3734</v>
      </c>
      <c r="V3">
        <v>842</v>
      </c>
      <c r="W3">
        <f>SUM(U3:V3)</f>
        <v>4576</v>
      </c>
    </row>
    <row r="4" spans="1:23" x14ac:dyDescent="0.25">
      <c r="A4" s="20">
        <v>1999</v>
      </c>
      <c r="B4" s="21">
        <f>Indices!B3</f>
        <v>129116</v>
      </c>
      <c r="C4" s="21">
        <f>Indices!C3</f>
        <v>16201</v>
      </c>
      <c r="D4" s="105">
        <f>'Alt1'!G16</f>
        <v>2805</v>
      </c>
      <c r="E4" s="106">
        <f>'Alt1'!H16</f>
        <v>710</v>
      </c>
      <c r="F4" s="105">
        <f>'Alt2-1'!G33</f>
        <v>3002.2</v>
      </c>
      <c r="G4" s="106">
        <f>'Alt2-1'!G59</f>
        <v>894</v>
      </c>
      <c r="H4" s="105">
        <f>'Alt2-2'!D33</f>
        <v>2025</v>
      </c>
      <c r="I4" s="106">
        <f>'Alt2-2'!J33</f>
        <v>894</v>
      </c>
      <c r="J4" s="105">
        <f>'Alt2-3'!G33</f>
        <v>3002.2</v>
      </c>
      <c r="K4" s="106">
        <f>'Alt2-3'!G59</f>
        <v>894</v>
      </c>
      <c r="L4" s="117">
        <f>'Alt2-4'!G33</f>
        <v>2631.3275451617419</v>
      </c>
      <c r="M4" s="117">
        <f>'Alt2-4'!G59</f>
        <v>710</v>
      </c>
      <c r="N4" s="105">
        <f>'Alt3-1'!I33</f>
        <v>3532</v>
      </c>
      <c r="O4" s="106">
        <f>'Alt3-1'!I59</f>
        <v>894</v>
      </c>
      <c r="P4" s="105">
        <f>'Alt3-2a'!I33</f>
        <v>3095.7999999999997</v>
      </c>
      <c r="Q4" s="106">
        <f>'Alt3-2a'!I73</f>
        <v>783.59999999999991</v>
      </c>
      <c r="R4" s="117">
        <f>'Alt3-3a'!I33</f>
        <v>2805</v>
      </c>
      <c r="S4" s="106">
        <f>'Alt3-3a'!I59</f>
        <v>710</v>
      </c>
      <c r="T4"/>
      <c r="U4" s="2">
        <v>3734</v>
      </c>
      <c r="V4">
        <v>842</v>
      </c>
      <c r="W4">
        <f t="shared" ref="W4:W22" si="0">SUM(U4:V4)</f>
        <v>4576</v>
      </c>
    </row>
    <row r="5" spans="1:23" x14ac:dyDescent="0.25">
      <c r="A5" s="20">
        <v>2000</v>
      </c>
      <c r="B5" s="21">
        <f>Indices!B4</f>
        <v>118677</v>
      </c>
      <c r="C5" s="21">
        <f>Indices!C4</f>
        <v>16203</v>
      </c>
      <c r="D5" s="105">
        <f>'Alt1'!G17</f>
        <v>2805</v>
      </c>
      <c r="E5" s="106">
        <f>'Alt1'!H17</f>
        <v>710</v>
      </c>
      <c r="F5" s="105">
        <f>'Alt2-1'!G34</f>
        <v>2648.2393677109353</v>
      </c>
      <c r="G5" s="106">
        <f>'Alt2-1'!G60</f>
        <v>894</v>
      </c>
      <c r="H5" s="105">
        <f>'Alt2-2'!D34</f>
        <v>1745</v>
      </c>
      <c r="I5" s="106">
        <f>'Alt2-2'!J34</f>
        <v>894</v>
      </c>
      <c r="J5" s="105">
        <f>'Alt2-3'!G34</f>
        <v>2648.2393677109353</v>
      </c>
      <c r="K5" s="106">
        <f>'Alt2-3'!G60</f>
        <v>894</v>
      </c>
      <c r="L5" s="117">
        <f>'Alt2-4'!G34</f>
        <v>2631.5530037809831</v>
      </c>
      <c r="M5" s="117">
        <f>'Alt2-4'!G60</f>
        <v>710</v>
      </c>
      <c r="N5" s="105">
        <f>'Alt3-1'!I34</f>
        <v>3532</v>
      </c>
      <c r="O5" s="106">
        <f>'Alt3-1'!I60</f>
        <v>894</v>
      </c>
      <c r="P5" s="105">
        <f>'Alt3-2a'!I34</f>
        <v>3023.1</v>
      </c>
      <c r="Q5" s="106">
        <f>'Alt3-2a'!I74</f>
        <v>765.19999999999993</v>
      </c>
      <c r="R5" s="117">
        <f>'Alt3-3a'!I34</f>
        <v>2805</v>
      </c>
      <c r="S5" s="106">
        <f>'Alt3-3a'!I60</f>
        <v>710</v>
      </c>
      <c r="T5"/>
      <c r="U5" s="2">
        <v>3734</v>
      </c>
      <c r="V5">
        <v>842</v>
      </c>
      <c r="W5">
        <f t="shared" si="0"/>
        <v>4576</v>
      </c>
    </row>
    <row r="6" spans="1:23" x14ac:dyDescent="0.25">
      <c r="A6" s="20">
        <v>2001</v>
      </c>
      <c r="B6" s="21">
        <f>Indices!B5</f>
        <v>141219</v>
      </c>
      <c r="C6" s="21">
        <f>Indices!C5</f>
        <v>13780</v>
      </c>
      <c r="D6" s="105">
        <f>'Alt1'!G18</f>
        <v>2805</v>
      </c>
      <c r="E6" s="106">
        <f>'Alt1'!H18</f>
        <v>710</v>
      </c>
      <c r="F6" s="105">
        <f>'Alt2-1'!G35</f>
        <v>3045.4752728675753</v>
      </c>
      <c r="G6" s="106">
        <f>'Alt2-1'!G61</f>
        <v>894</v>
      </c>
      <c r="H6" s="105">
        <f>'Alt2-2'!D35</f>
        <v>2025</v>
      </c>
      <c r="I6" s="106">
        <f>'Alt2-2'!J35</f>
        <v>894</v>
      </c>
      <c r="J6" s="105">
        <f>'Alt2-3'!G35</f>
        <v>3045.4752728675753</v>
      </c>
      <c r="K6" s="106">
        <f>'Alt2-3'!G61</f>
        <v>894</v>
      </c>
      <c r="L6" s="117">
        <f>'Alt2-4'!G35</f>
        <v>2358.4098865705082</v>
      </c>
      <c r="M6" s="117">
        <f>'Alt2-4'!G61</f>
        <v>710</v>
      </c>
      <c r="N6" s="105">
        <f>'Alt3-1'!I35</f>
        <v>3532</v>
      </c>
      <c r="O6" s="106">
        <f>'Alt3-1'!I61</f>
        <v>894</v>
      </c>
      <c r="P6" s="105">
        <f>'Alt3-2a'!I35</f>
        <v>2950.4</v>
      </c>
      <c r="Q6" s="106">
        <f>'Alt3-2a'!I75</f>
        <v>746.8</v>
      </c>
      <c r="R6" s="117">
        <f>'Alt3-3a'!I35</f>
        <v>2805</v>
      </c>
      <c r="S6" s="106">
        <f>'Alt3-3a'!I61</f>
        <v>710</v>
      </c>
      <c r="T6"/>
      <c r="U6" s="2">
        <v>3734</v>
      </c>
      <c r="V6">
        <v>842</v>
      </c>
      <c r="W6">
        <f t="shared" si="0"/>
        <v>4576</v>
      </c>
    </row>
    <row r="7" spans="1:23" x14ac:dyDescent="0.25">
      <c r="A7" s="20">
        <v>2002</v>
      </c>
      <c r="B7" s="21">
        <f>Indices!B6</f>
        <v>101706</v>
      </c>
      <c r="C7" s="21">
        <f>Indices!C6</f>
        <v>12104</v>
      </c>
      <c r="D7" s="105">
        <f>'Alt1'!G19</f>
        <v>2805</v>
      </c>
      <c r="E7" s="106">
        <f>'Alt1'!H19</f>
        <v>710</v>
      </c>
      <c r="F7" s="105">
        <f>'Alt2-1'!G36</f>
        <v>2588.6539819374389</v>
      </c>
      <c r="G7" s="106">
        <f>'Alt2-1'!G62</f>
        <v>894</v>
      </c>
      <c r="H7" s="105">
        <f>'Alt2-2'!D36</f>
        <v>1745</v>
      </c>
      <c r="I7" s="106">
        <f>'Alt2-2'!J36</f>
        <v>894</v>
      </c>
      <c r="J7" s="105">
        <f>'Alt2-3'!G36</f>
        <v>2588.6539819374389</v>
      </c>
      <c r="K7" s="106">
        <f>'Alt2-3'!G62</f>
        <v>894</v>
      </c>
      <c r="L7" s="117">
        <f>'Alt2-4'!G36</f>
        <v>2169.4755636465479</v>
      </c>
      <c r="M7" s="117">
        <f>'Alt2-4'!G62</f>
        <v>691.56028567427529</v>
      </c>
      <c r="N7" s="105">
        <f>'Alt3-1'!I36</f>
        <v>3517.7638846642517</v>
      </c>
      <c r="O7" s="106">
        <f>'Alt3-1'!I62</f>
        <v>894</v>
      </c>
      <c r="P7" s="105">
        <f>'Alt3-2a'!I36</f>
        <v>2664.7999999999993</v>
      </c>
      <c r="Q7" s="106">
        <f>'Alt3-2a'!I76</f>
        <v>674.5</v>
      </c>
      <c r="R7" s="117">
        <f>'Alt3-3a'!I36</f>
        <v>2544.8564767173589</v>
      </c>
      <c r="S7" s="106">
        <f>'Alt3-3a'!I62</f>
        <v>643.1339144615207</v>
      </c>
      <c r="T7"/>
      <c r="U7" s="2">
        <v>3734</v>
      </c>
      <c r="V7">
        <v>842</v>
      </c>
      <c r="W7">
        <f t="shared" si="0"/>
        <v>4576</v>
      </c>
    </row>
    <row r="8" spans="1:23" x14ac:dyDescent="0.25">
      <c r="A8" s="20">
        <v>2003</v>
      </c>
      <c r="B8" s="21">
        <f>Indices!B7</f>
        <v>132151</v>
      </c>
      <c r="C8" s="21">
        <f>Indices!C7</f>
        <v>10866</v>
      </c>
      <c r="D8" s="105">
        <f>'Alt1'!G20</f>
        <v>2805</v>
      </c>
      <c r="E8" s="106">
        <f>'Alt1'!H20</f>
        <v>710</v>
      </c>
      <c r="F8" s="105">
        <f>'Alt2-1'!G37</f>
        <v>2948.9073761753989</v>
      </c>
      <c r="G8" s="106">
        <f>'Alt2-1'!G63</f>
        <v>894</v>
      </c>
      <c r="H8" s="105">
        <f>'Alt2-2'!D37</f>
        <v>1745</v>
      </c>
      <c r="I8" s="106">
        <f>'Alt2-2'!J37</f>
        <v>894</v>
      </c>
      <c r="J8" s="105">
        <f>'Alt2-3'!G37</f>
        <v>2948.9073761753989</v>
      </c>
      <c r="K8" s="106">
        <f>'Alt2-3'!G63</f>
        <v>894</v>
      </c>
      <c r="L8" s="117">
        <f>'Alt2-4'!G37</f>
        <v>2029.9166783363673</v>
      </c>
      <c r="M8" s="117">
        <f>'Alt2-4'!G63</f>
        <v>620.82733510712785</v>
      </c>
      <c r="N8" s="105">
        <f>'Alt3-1'!I37</f>
        <v>3532</v>
      </c>
      <c r="O8" s="106">
        <f>'Alt3-1'!I63</f>
        <v>894</v>
      </c>
      <c r="P8" s="105">
        <f>'Alt3-2a'!I37</f>
        <v>2664.7999999999993</v>
      </c>
      <c r="Q8" s="106">
        <f>'Alt3-2a'!I77</f>
        <v>674.5</v>
      </c>
      <c r="R8" s="117">
        <f>'Alt3-3a'!I37</f>
        <v>2406.3822684304037</v>
      </c>
      <c r="S8" s="106">
        <f>'Alt3-3a'!I63</f>
        <v>608.1388330326356</v>
      </c>
      <c r="T8"/>
      <c r="U8" s="2">
        <v>3734</v>
      </c>
      <c r="V8">
        <v>842</v>
      </c>
      <c r="W8">
        <f t="shared" si="0"/>
        <v>4576</v>
      </c>
    </row>
    <row r="9" spans="1:23" x14ac:dyDescent="0.25">
      <c r="A9" s="20">
        <v>2004</v>
      </c>
      <c r="B9" s="21">
        <f>Indices!B8</f>
        <v>130075</v>
      </c>
      <c r="C9" s="21">
        <f>Indices!C8</f>
        <v>9987</v>
      </c>
      <c r="D9" s="105">
        <f>'Alt1'!G21</f>
        <v>2805</v>
      </c>
      <c r="E9" s="106">
        <f>'Alt1'!H21</f>
        <v>710</v>
      </c>
      <c r="F9" s="105">
        <f>'Alt2-1'!G38</f>
        <v>2902.5820989323956</v>
      </c>
      <c r="G9" s="106">
        <f>'Alt2-1'!G64</f>
        <v>894</v>
      </c>
      <c r="H9" s="105">
        <f>'Alt2-2'!D38</f>
        <v>2025</v>
      </c>
      <c r="I9" s="106">
        <f>'Alt2-2'!J38</f>
        <v>894</v>
      </c>
      <c r="J9" s="105">
        <f>'Alt2-3'!G38</f>
        <v>2902.5820989323956</v>
      </c>
      <c r="K9" s="106">
        <f>'Alt2-3'!G64</f>
        <v>894</v>
      </c>
      <c r="L9" s="117">
        <f>'Alt2-4'!G38</f>
        <v>1930.8276151799469</v>
      </c>
      <c r="M9" s="117">
        <f>'Alt2-4'!G64</f>
        <v>570.60579750735189</v>
      </c>
      <c r="N9" s="105">
        <f>'Alt3-1'!I38</f>
        <v>3319.2469567954399</v>
      </c>
      <c r="O9" s="106">
        <f>'Alt3-1'!I64</f>
        <v>894</v>
      </c>
      <c r="P9" s="105">
        <f>'Alt3-2a'!I38</f>
        <v>2664.7999999999993</v>
      </c>
      <c r="Q9" s="106">
        <f>'Alt3-2a'!I78</f>
        <v>674.5</v>
      </c>
      <c r="R9" s="117">
        <f>'Alt3-3a'!I38</f>
        <v>2204.9547985956883</v>
      </c>
      <c r="S9" s="106">
        <f>'Alt3-3a'!I64</f>
        <v>557.23425812239077</v>
      </c>
      <c r="T9"/>
      <c r="U9" s="2">
        <v>3734</v>
      </c>
      <c r="V9">
        <v>842</v>
      </c>
      <c r="W9">
        <f t="shared" si="0"/>
        <v>4576</v>
      </c>
    </row>
    <row r="10" spans="1:23" x14ac:dyDescent="0.25">
      <c r="A10" s="20">
        <v>2005</v>
      </c>
      <c r="B10" s="21">
        <f>Indices!B9</f>
        <v>132518</v>
      </c>
      <c r="C10" s="21">
        <f>Indices!C9</f>
        <v>9550</v>
      </c>
      <c r="D10" s="105">
        <f>'Alt1'!G22</f>
        <v>2805</v>
      </c>
      <c r="E10" s="106">
        <f>'Alt1'!H22</f>
        <v>710</v>
      </c>
      <c r="F10" s="105">
        <f>'Alt2-1'!G39</f>
        <v>2957.0968640117103</v>
      </c>
      <c r="G10" s="106">
        <f>'Alt2-1'!G65</f>
        <v>894</v>
      </c>
      <c r="H10" s="105">
        <f>'Alt2-2'!D39</f>
        <v>2025</v>
      </c>
      <c r="I10" s="106">
        <f>'Alt2-2'!J39</f>
        <v>710</v>
      </c>
      <c r="J10" s="105">
        <f>'Alt2-3'!G39</f>
        <v>2957.0968640117103</v>
      </c>
      <c r="K10" s="106">
        <f>'Alt2-3'!G65</f>
        <v>894</v>
      </c>
      <c r="L10" s="117">
        <f>'Alt2-4'!G39</f>
        <v>1881.5649068757875</v>
      </c>
      <c r="M10" s="117">
        <f>'Alt2-4'!G65</f>
        <v>545.63786584511968</v>
      </c>
      <c r="N10" s="105">
        <f>'Alt3-1'!I39</f>
        <v>3202.1071916969086</v>
      </c>
      <c r="O10" s="106">
        <f>'Alt3-1'!I65</f>
        <v>894</v>
      </c>
      <c r="P10" s="105">
        <f>'Alt3-2a'!I39</f>
        <v>2524.5999999999995</v>
      </c>
      <c r="Q10" s="106">
        <f>'Alt3-2a'!I79</f>
        <v>639</v>
      </c>
      <c r="R10" s="117">
        <f>'Alt3-3a'!I39</f>
        <v>2119.9374266059076</v>
      </c>
      <c r="S10" s="106">
        <f>'Alt3-3a'!I65</f>
        <v>535.74874184858186</v>
      </c>
      <c r="T10"/>
      <c r="U10" s="2">
        <v>3734</v>
      </c>
      <c r="V10">
        <v>842</v>
      </c>
      <c r="W10">
        <f t="shared" si="0"/>
        <v>4576</v>
      </c>
    </row>
    <row r="11" spans="1:23" x14ac:dyDescent="0.25">
      <c r="A11" s="20">
        <v>2006</v>
      </c>
      <c r="B11" s="21">
        <f>Indices!B10</f>
        <v>155964</v>
      </c>
      <c r="C11" s="21">
        <f>Indices!C10</f>
        <v>9802</v>
      </c>
      <c r="D11" s="105">
        <f>'Alt1'!G23</f>
        <v>2805</v>
      </c>
      <c r="E11" s="106">
        <f>'Alt1'!H23</f>
        <v>710</v>
      </c>
      <c r="F11" s="105">
        <f>'Alt2-1'!G40</f>
        <v>3400.6613936134668</v>
      </c>
      <c r="G11" s="106">
        <f>'Alt2-1'!G66</f>
        <v>894</v>
      </c>
      <c r="H11" s="105">
        <f>'Alt2-2'!D40</f>
        <v>2025</v>
      </c>
      <c r="I11" s="106">
        <f>'Alt2-2'!J40</f>
        <v>710</v>
      </c>
      <c r="J11" s="105">
        <f>'Alt2-3'!G40</f>
        <v>3400.6613936134668</v>
      </c>
      <c r="K11" s="106">
        <f>'Alt2-3'!G66</f>
        <v>894</v>
      </c>
      <c r="L11" s="117">
        <f>'Alt2-4'!G40</f>
        <v>1909.972692900154</v>
      </c>
      <c r="M11" s="117">
        <f>'Alt2-4'!G66</f>
        <v>560.03584932082344</v>
      </c>
      <c r="N11" s="105">
        <f>'Alt3-1'!I40</f>
        <v>3532</v>
      </c>
      <c r="O11" s="106">
        <f>'Alt3-1'!I66</f>
        <v>894</v>
      </c>
      <c r="P11" s="105">
        <f>'Alt3-2a'!I40</f>
        <v>2664.7999999999993</v>
      </c>
      <c r="Q11" s="106">
        <f>'Alt3-2a'!I80</f>
        <v>674.5</v>
      </c>
      <c r="R11" s="117">
        <f>'Alt3-3a'!I40</f>
        <v>2277.130447420283</v>
      </c>
      <c r="S11" s="106">
        <f>'Alt3-3a'!I66</f>
        <v>575.47442529175419</v>
      </c>
      <c r="T11"/>
      <c r="U11" s="2">
        <v>3734</v>
      </c>
      <c r="V11">
        <v>842</v>
      </c>
      <c r="W11">
        <f t="shared" si="0"/>
        <v>4576</v>
      </c>
    </row>
    <row r="12" spans="1:23" x14ac:dyDescent="0.25">
      <c r="A12" s="20">
        <v>2007</v>
      </c>
      <c r="B12" s="21">
        <f>Indices!B11</f>
        <v>143903</v>
      </c>
      <c r="C12" s="21">
        <f>Indices!C11</f>
        <v>9673</v>
      </c>
      <c r="D12" s="105">
        <f>'Alt1'!G24</f>
        <v>2805</v>
      </c>
      <c r="E12" s="106">
        <f>'Alt1'!H24</f>
        <v>710</v>
      </c>
      <c r="F12" s="105">
        <f>'Alt2-1'!G41</f>
        <v>3211.1495043833829</v>
      </c>
      <c r="G12" s="106">
        <f>'Alt2-1'!G67</f>
        <v>894</v>
      </c>
      <c r="H12" s="105">
        <f>'Alt2-2'!D41</f>
        <v>2025</v>
      </c>
      <c r="I12" s="106">
        <f>'Alt2-2'!J41</f>
        <v>710</v>
      </c>
      <c r="J12" s="105">
        <f>'Alt2-3'!G41</f>
        <v>3211.1495043833829</v>
      </c>
      <c r="K12" s="106">
        <f>'Alt2-3'!G67</f>
        <v>894</v>
      </c>
      <c r="L12" s="117">
        <f>'Alt2-4'!G41</f>
        <v>1895.4306119591095</v>
      </c>
      <c r="M12" s="117">
        <f>'Alt2-4'!G67</f>
        <v>552.66545301778467</v>
      </c>
      <c r="N12" s="105">
        <f>'Alt3-1'!I41</f>
        <v>3504.4744938806525</v>
      </c>
      <c r="O12" s="106">
        <f>'Alt3-1'!I67</f>
        <v>894</v>
      </c>
      <c r="P12" s="105">
        <f>'Alt3-2a'!I41</f>
        <v>2664.7999999999993</v>
      </c>
      <c r="Q12" s="106">
        <f>'Alt3-2a'!I81</f>
        <v>674.5</v>
      </c>
      <c r="R12" s="117">
        <f>'Alt3-3a'!I41</f>
        <v>2196.4063440132486</v>
      </c>
      <c r="S12" s="106">
        <f>'Alt3-3a'!I67</f>
        <v>555.07390011851135</v>
      </c>
      <c r="T12"/>
      <c r="U12" s="2">
        <v>3734</v>
      </c>
      <c r="V12">
        <v>842</v>
      </c>
      <c r="W12">
        <f t="shared" si="0"/>
        <v>4576</v>
      </c>
    </row>
    <row r="13" spans="1:23" x14ac:dyDescent="0.25">
      <c r="A13" s="20">
        <v>2008</v>
      </c>
      <c r="B13" s="21">
        <f>Indices!B12</f>
        <v>140247</v>
      </c>
      <c r="C13" s="21">
        <f>Indices!C12</f>
        <v>10264</v>
      </c>
      <c r="D13" s="105">
        <f>'Alt1'!G25</f>
        <v>2805</v>
      </c>
      <c r="E13" s="106">
        <f>'Alt1'!H25</f>
        <v>710</v>
      </c>
      <c r="F13" s="105">
        <f>'Alt2-1'!G42</f>
        <v>3129.567031550811</v>
      </c>
      <c r="G13" s="106">
        <f>'Alt2-1'!G68</f>
        <v>894</v>
      </c>
      <c r="H13" s="105">
        <f>'Alt2-2'!D42</f>
        <v>2025</v>
      </c>
      <c r="I13" s="106">
        <f>'Alt2-2'!J42</f>
        <v>894</v>
      </c>
      <c r="J13" s="105">
        <f>'Alt2-3'!G42</f>
        <v>3129.567031550811</v>
      </c>
      <c r="K13" s="106">
        <f>'Alt2-3'!G68</f>
        <v>894</v>
      </c>
      <c r="L13" s="117">
        <f>'Alt2-4'!G42</f>
        <v>1962.0536339448256</v>
      </c>
      <c r="M13" s="117">
        <f>'Alt2-4'!G68</f>
        <v>586.4321523596135</v>
      </c>
      <c r="N13" s="105">
        <f>'Alt3-1'!I42</f>
        <v>3532</v>
      </c>
      <c r="O13" s="106">
        <f>'Alt3-1'!I68</f>
        <v>894</v>
      </c>
      <c r="P13" s="105">
        <f>'Alt3-2a'!I42</f>
        <v>2664.7999999999993</v>
      </c>
      <c r="Q13" s="106">
        <f>'Alt3-2a'!I82</f>
        <v>674.5</v>
      </c>
      <c r="R13" s="117">
        <f>'Alt3-3a'!I42</f>
        <v>2309.8518330870384</v>
      </c>
      <c r="S13" s="106">
        <f>'Alt3-3a'!I68</f>
        <v>583.74374540587348</v>
      </c>
      <c r="T13"/>
      <c r="U13" s="2">
        <v>3734</v>
      </c>
      <c r="V13">
        <v>842</v>
      </c>
      <c r="W13">
        <f t="shared" si="0"/>
        <v>4576</v>
      </c>
    </row>
    <row r="14" spans="1:23" x14ac:dyDescent="0.25">
      <c r="A14" s="20">
        <v>2009</v>
      </c>
      <c r="B14" s="21">
        <f>Indices!B13</f>
        <v>168102</v>
      </c>
      <c r="C14" s="21">
        <f>Indices!C13</f>
        <v>9834</v>
      </c>
      <c r="D14" s="105">
        <f>'Alt1'!G26</f>
        <v>2805</v>
      </c>
      <c r="E14" s="106">
        <f>'Alt1'!H26</f>
        <v>710</v>
      </c>
      <c r="F14" s="105">
        <f>'Alt2-1'!G43</f>
        <v>3532</v>
      </c>
      <c r="G14" s="106">
        <f>'Alt2-1'!G69</f>
        <v>894</v>
      </c>
      <c r="H14" s="105">
        <f>'Alt2-2'!D43</f>
        <v>2025</v>
      </c>
      <c r="I14" s="106">
        <f>'Alt2-2'!J43</f>
        <v>894</v>
      </c>
      <c r="J14" s="105">
        <f>'Alt2-3'!G43</f>
        <v>3532</v>
      </c>
      <c r="K14" s="106">
        <f>'Alt2-3'!G69</f>
        <v>894</v>
      </c>
      <c r="L14" s="117">
        <f>'Alt2-4'!G43</f>
        <v>1913.58003080801</v>
      </c>
      <c r="M14" s="117">
        <f>'Alt2-4'!G69</f>
        <v>561.86416468281755</v>
      </c>
      <c r="N14" s="105">
        <f>'Alt3-1'!I43</f>
        <v>3532</v>
      </c>
      <c r="O14" s="106">
        <f>'Alt3-1'!I69</f>
        <v>894</v>
      </c>
      <c r="P14" s="105">
        <f>'Alt3-2a'!I43</f>
        <v>2805</v>
      </c>
      <c r="Q14" s="106">
        <f>'Alt3-2a'!I83</f>
        <v>710</v>
      </c>
      <c r="R14" s="117">
        <f>'Alt3-3a'!I43</f>
        <v>2336.9585916251926</v>
      </c>
      <c r="S14" s="106">
        <f>'Alt3-3a'!I69</f>
        <v>590.59414183746071</v>
      </c>
      <c r="T14"/>
      <c r="U14" s="2">
        <v>3693</v>
      </c>
      <c r="V14">
        <v>833</v>
      </c>
      <c r="W14">
        <f t="shared" si="0"/>
        <v>4526</v>
      </c>
    </row>
    <row r="15" spans="1:23" x14ac:dyDescent="0.25">
      <c r="A15" s="20">
        <v>2010</v>
      </c>
      <c r="B15" s="21">
        <f>Indices!B14</f>
        <v>195535</v>
      </c>
      <c r="C15" s="21">
        <f>Indices!C14</f>
        <v>9146</v>
      </c>
      <c r="D15" s="105">
        <f>'Alt1'!G27</f>
        <v>2805</v>
      </c>
      <c r="E15" s="106">
        <f>'Alt1'!H27</f>
        <v>710</v>
      </c>
      <c r="F15" s="105">
        <f>'Alt2-1'!G44</f>
        <v>3532</v>
      </c>
      <c r="G15" s="106">
        <f>'Alt2-1'!G70</f>
        <v>894</v>
      </c>
      <c r="H15" s="105">
        <f>'Alt2-2'!D44</f>
        <v>2325</v>
      </c>
      <c r="I15" s="106">
        <f>'Alt2-2'!J44</f>
        <v>710</v>
      </c>
      <c r="J15" s="105">
        <f>'Alt2-3'!G44</f>
        <v>3532</v>
      </c>
      <c r="K15" s="106">
        <f>'Alt2-3'!G70</f>
        <v>894</v>
      </c>
      <c r="L15" s="117">
        <f>'Alt2-4'!G44</f>
        <v>1836.0222657891052</v>
      </c>
      <c r="M15" s="117">
        <f>'Alt2-4'!G70</f>
        <v>522.55538439994405</v>
      </c>
      <c r="N15" s="105">
        <f>'Alt3-1'!I44</f>
        <v>3532</v>
      </c>
      <c r="O15" s="106">
        <f>'Alt3-1'!I70</f>
        <v>894</v>
      </c>
      <c r="P15" s="105">
        <f>'Alt3-2a'!I44</f>
        <v>2950.4</v>
      </c>
      <c r="Q15" s="106">
        <f>'Alt3-2a'!I84</f>
        <v>746.8</v>
      </c>
      <c r="R15" s="117">
        <f>'Alt3-3a'!I44</f>
        <v>2305.758581035233</v>
      </c>
      <c r="S15" s="106">
        <f>'Alt3-3a'!I70</f>
        <v>582.70930230896806</v>
      </c>
      <c r="T15"/>
      <c r="U15" s="2">
        <v>3684</v>
      </c>
      <c r="V15">
        <v>842</v>
      </c>
      <c r="W15">
        <f t="shared" si="0"/>
        <v>4526</v>
      </c>
    </row>
    <row r="16" spans="1:23" x14ac:dyDescent="0.25">
      <c r="A16" s="20">
        <v>2011</v>
      </c>
      <c r="B16" s="21">
        <f>Indices!B15</f>
        <v>186666</v>
      </c>
      <c r="C16" s="21">
        <f>Indices!C15</f>
        <v>8669</v>
      </c>
      <c r="D16" s="105">
        <f>'Alt1'!G28</f>
        <v>2805</v>
      </c>
      <c r="E16" s="106">
        <f>'Alt1'!H28</f>
        <v>710</v>
      </c>
      <c r="F16" s="105">
        <f>'Alt2-1'!G45</f>
        <v>3532</v>
      </c>
      <c r="G16" s="106">
        <f>'Alt2-1'!G71</f>
        <v>861.92269990197462</v>
      </c>
      <c r="H16" s="105">
        <f>'Alt2-2'!D45</f>
        <v>2325</v>
      </c>
      <c r="I16" s="106">
        <f>'Alt2-2'!J45</f>
        <v>710</v>
      </c>
      <c r="J16" s="105">
        <f>'Alt2-3'!G45</f>
        <v>3532</v>
      </c>
      <c r="K16" s="106">
        <f>'Alt2-3'!G71</f>
        <v>861.92269990197462</v>
      </c>
      <c r="L16" s="117">
        <f>'Alt2-4'!G45</f>
        <v>1782.2503851001263</v>
      </c>
      <c r="M16" s="117">
        <f>'Alt2-4'!G71</f>
        <v>495.3020585352192</v>
      </c>
      <c r="N16" s="105">
        <f>'Alt3-1'!I45</f>
        <v>3532</v>
      </c>
      <c r="O16" s="106">
        <f>'Alt3-1'!I71</f>
        <v>894</v>
      </c>
      <c r="P16" s="105">
        <f>'Alt3-2a'!I45</f>
        <v>2805</v>
      </c>
      <c r="Q16" s="106">
        <f>'Alt3-2a'!I85</f>
        <v>710</v>
      </c>
      <c r="R16" s="117">
        <f>'Alt3-3a'!I45</f>
        <v>2162.7567680376969</v>
      </c>
      <c r="S16" s="106">
        <f>'Alt3-3a'!I71</f>
        <v>546.5700085571915</v>
      </c>
      <c r="T16"/>
      <c r="U16" s="2">
        <v>3634</v>
      </c>
      <c r="V16">
        <v>842</v>
      </c>
      <c r="W16">
        <f t="shared" si="0"/>
        <v>4476</v>
      </c>
    </row>
    <row r="17" spans="1:23" x14ac:dyDescent="0.25">
      <c r="A17" s="20">
        <v>2012</v>
      </c>
      <c r="B17" s="21">
        <f>Indices!B16</f>
        <v>189000</v>
      </c>
      <c r="C17" s="21">
        <f>Indices!C16</f>
        <v>8403</v>
      </c>
      <c r="D17" s="105">
        <f>'Alt1'!G29</f>
        <v>2805</v>
      </c>
      <c r="E17" s="106">
        <f>'Alt1'!H29</f>
        <v>710</v>
      </c>
      <c r="F17" s="105">
        <f>'Alt2-1'!G46</f>
        <v>3532</v>
      </c>
      <c r="G17" s="106">
        <f>'Alt2-1'!G72</f>
        <v>835.47542361013859</v>
      </c>
      <c r="H17" s="105">
        <f>'Alt2-2'!D46</f>
        <v>2325</v>
      </c>
      <c r="I17" s="106">
        <f>'Alt2-2'!J46</f>
        <v>710</v>
      </c>
      <c r="J17" s="105">
        <f>'Alt2-3'!G46</f>
        <v>3532</v>
      </c>
      <c r="K17" s="106">
        <f>'Alt2-3'!G72</f>
        <v>835.47542361013859</v>
      </c>
      <c r="L17" s="117">
        <f>'Alt2-4'!G46</f>
        <v>1752.2643887410729</v>
      </c>
      <c r="M17" s="117">
        <f>'Alt2-4'!G72</f>
        <v>480.10418708864307</v>
      </c>
      <c r="N17" s="105">
        <f>'Alt3-1'!I46</f>
        <v>3532</v>
      </c>
      <c r="O17" s="106">
        <f>'Alt3-1'!I72</f>
        <v>894</v>
      </c>
      <c r="P17" s="105">
        <f>'Alt3-2a'!I46</f>
        <v>2877.7000000000003</v>
      </c>
      <c r="Q17" s="106">
        <f>'Alt3-2a'!I86</f>
        <v>728.4</v>
      </c>
      <c r="R17" s="117">
        <f>'Alt3-3a'!I46</f>
        <v>2114.692983741078</v>
      </c>
      <c r="S17" s="106">
        <f>'Alt3-3a'!I72</f>
        <v>534.42337081108496</v>
      </c>
      <c r="T17"/>
      <c r="U17" s="2">
        <v>3593</v>
      </c>
      <c r="V17">
        <v>833</v>
      </c>
      <c r="W17">
        <f t="shared" si="0"/>
        <v>4426</v>
      </c>
    </row>
    <row r="18" spans="1:23" x14ac:dyDescent="0.25">
      <c r="A18" s="20">
        <v>2013</v>
      </c>
      <c r="B18" s="21">
        <f>Indices!B17</f>
        <v>183989</v>
      </c>
      <c r="C18" s="21">
        <f>Indices!C17</f>
        <v>7989</v>
      </c>
      <c r="D18" s="105">
        <f>'Alt1'!G30</f>
        <v>2805</v>
      </c>
      <c r="E18" s="106">
        <f>'Alt1'!H30</f>
        <v>710</v>
      </c>
      <c r="F18" s="105">
        <f>'Alt2-1'!G47</f>
        <v>3532</v>
      </c>
      <c r="G18" s="106">
        <f>'Alt2-1'!G73</f>
        <v>794.31312141156707</v>
      </c>
      <c r="H18" s="105">
        <f>'Alt2-2'!D47</f>
        <v>2325</v>
      </c>
      <c r="I18" s="106">
        <f>'Alt2-2'!J47</f>
        <v>710</v>
      </c>
      <c r="J18" s="105">
        <f>'Alt2-3'!G47</f>
        <v>3532</v>
      </c>
      <c r="K18" s="106">
        <f>'Alt2-3'!G73</f>
        <v>794.31312141156707</v>
      </c>
      <c r="L18" s="117">
        <f>'Alt2-4'!G47</f>
        <v>1705.5944545581851</v>
      </c>
      <c r="M18" s="117">
        <f>'Alt2-4'!G73</f>
        <v>456.45035709284417</v>
      </c>
      <c r="N18" s="105">
        <f>'Alt3-1'!I47</f>
        <v>3532</v>
      </c>
      <c r="O18" s="106">
        <f>'Alt3-1'!I73</f>
        <v>894</v>
      </c>
      <c r="P18" s="105">
        <f>'Alt3-2a'!I47</f>
        <v>2805</v>
      </c>
      <c r="Q18" s="106">
        <f>'Alt3-2a'!I87</f>
        <v>710</v>
      </c>
      <c r="R18" s="117">
        <f>'Alt3-3a'!I47</f>
        <v>2002.2702752971857</v>
      </c>
      <c r="S18" s="106">
        <f>'Alt3-3a'!I73</f>
        <v>506.01200175456705</v>
      </c>
      <c r="T18"/>
      <c r="U18" s="2">
        <v>3593</v>
      </c>
      <c r="V18">
        <v>833</v>
      </c>
      <c r="W18">
        <f t="shared" si="0"/>
        <v>4426</v>
      </c>
    </row>
    <row r="19" spans="1:23" x14ac:dyDescent="0.25">
      <c r="A19" s="20">
        <v>2014</v>
      </c>
      <c r="B19" s="21">
        <f>Indices!B18</f>
        <v>171427</v>
      </c>
      <c r="C19" s="21">
        <f>Indices!C18</f>
        <v>7995</v>
      </c>
      <c r="D19" s="105">
        <f>'Alt1'!G31</f>
        <v>2805</v>
      </c>
      <c r="E19" s="106">
        <f>'Alt1'!H31</f>
        <v>710</v>
      </c>
      <c r="F19" s="105">
        <f>'Alt2-1'!G48</f>
        <v>3532</v>
      </c>
      <c r="G19" s="106">
        <f>'Alt2-1'!G74</f>
        <v>794.90967651589403</v>
      </c>
      <c r="H19" s="105">
        <f>'Alt2-2'!D48</f>
        <v>2325</v>
      </c>
      <c r="I19" s="106">
        <f>'Alt2-2'!J48</f>
        <v>710</v>
      </c>
      <c r="J19" s="105">
        <f>'Alt2-3'!G48</f>
        <v>3532</v>
      </c>
      <c r="K19" s="106">
        <f>'Alt2-3'!G74</f>
        <v>794.90967651589403</v>
      </c>
      <c r="L19" s="117">
        <f>'Alt2-4'!G48</f>
        <v>1706.270830415908</v>
      </c>
      <c r="M19" s="117">
        <f>'Alt2-4'!G74</f>
        <v>456.79316622321801</v>
      </c>
      <c r="N19" s="105">
        <f>'Alt3-1'!I48</f>
        <v>3532</v>
      </c>
      <c r="O19" s="106">
        <f>'Alt3-1'!I74</f>
        <v>875.67724584653331</v>
      </c>
      <c r="P19" s="105">
        <f>'Alt3-2a'!I48</f>
        <v>2664.7999999999997</v>
      </c>
      <c r="Q19" s="106">
        <f>'Alt3-2a'!I88</f>
        <v>674.5</v>
      </c>
      <c r="R19" s="117">
        <f>'Alt3-3a'!I48</f>
        <v>1948.9142228122091</v>
      </c>
      <c r="S19" s="106">
        <f>'Alt3-3a'!I74</f>
        <v>492.52790659681551</v>
      </c>
      <c r="T19"/>
      <c r="U19" s="2">
        <v>3593</v>
      </c>
      <c r="V19">
        <v>833</v>
      </c>
      <c r="W19">
        <f t="shared" si="0"/>
        <v>4426</v>
      </c>
    </row>
    <row r="20" spans="1:23" x14ac:dyDescent="0.25">
      <c r="A20" s="20">
        <v>2015</v>
      </c>
      <c r="B20" s="21">
        <f>Indices!B19</f>
        <v>172237</v>
      </c>
      <c r="C20" s="21">
        <f>Indices!C19</f>
        <v>8130</v>
      </c>
      <c r="D20" s="105">
        <f>'Alt1'!G32</f>
        <v>2805</v>
      </c>
      <c r="E20" s="106">
        <f>'Alt1'!H32</f>
        <v>710</v>
      </c>
      <c r="F20" s="105">
        <f>'Alt2-1'!G49</f>
        <v>3532</v>
      </c>
      <c r="G20" s="106">
        <f>'Alt2-1'!G75</f>
        <v>808.33216636325437</v>
      </c>
      <c r="H20" s="105">
        <f>'Alt2-2'!D49</f>
        <v>2025</v>
      </c>
      <c r="I20" s="106">
        <f>'Alt2-2'!J49</f>
        <v>710</v>
      </c>
      <c r="J20" s="105">
        <f>'Alt2-3'!G49</f>
        <v>3532</v>
      </c>
      <c r="K20" s="106">
        <f>'Alt2-3'!G75</f>
        <v>808.33216636325437</v>
      </c>
      <c r="L20" s="117">
        <f>'Alt2-4'!G49</f>
        <v>1721.4892872146759</v>
      </c>
      <c r="M20" s="117">
        <f>'Alt2-4'!G75</f>
        <v>464.50637165663073</v>
      </c>
      <c r="N20" s="105">
        <f>'Alt3-1'!I49</f>
        <v>3532</v>
      </c>
      <c r="O20" s="106">
        <f>'Alt3-1'!I75</f>
        <v>893.67484189745437</v>
      </c>
      <c r="P20" s="105">
        <f>'Alt3-2a'!I49</f>
        <v>2664.7999999999997</v>
      </c>
      <c r="Q20" s="106">
        <f>'Alt3-2a'!I89</f>
        <v>674.5</v>
      </c>
      <c r="R20" s="117">
        <f>'Alt3-3a'!I49</f>
        <v>1981.9876925024657</v>
      </c>
      <c r="S20" s="106">
        <f>'Alt3-3a'!I75</f>
        <v>500.88620507899805</v>
      </c>
      <c r="T20"/>
      <c r="U20" s="2">
        <v>3593</v>
      </c>
      <c r="V20">
        <v>833</v>
      </c>
      <c r="W20">
        <f t="shared" si="0"/>
        <v>4426</v>
      </c>
    </row>
    <row r="21" spans="1:23" x14ac:dyDescent="0.25">
      <c r="A21" s="20">
        <v>2016</v>
      </c>
      <c r="B21" s="21">
        <f>Indices!B20</f>
        <v>153704</v>
      </c>
      <c r="C21" s="21">
        <f>Indices!C20</f>
        <v>7826</v>
      </c>
      <c r="D21" s="105">
        <f>'Alt1'!G33</f>
        <v>2805</v>
      </c>
      <c r="E21" s="106">
        <f>'Alt1'!H33</f>
        <v>710</v>
      </c>
      <c r="F21" s="105">
        <f>'Alt2-1'!G50</f>
        <v>3429.855690442475</v>
      </c>
      <c r="G21" s="106">
        <f>'Alt2-1'!G76</f>
        <v>778.10670774401342</v>
      </c>
      <c r="H21" s="105">
        <f>'Alt2-2'!D50</f>
        <v>2025</v>
      </c>
      <c r="I21" s="106">
        <f>'Alt2-2'!J50</f>
        <v>710</v>
      </c>
      <c r="J21" s="105">
        <f>'Alt2-3'!G50</f>
        <v>3429.855690442475</v>
      </c>
      <c r="K21" s="106">
        <f>'Alt2-3'!G76</f>
        <v>778.10670774401342</v>
      </c>
      <c r="L21" s="117">
        <f>'Alt2-4'!G50</f>
        <v>1687.2195770900435</v>
      </c>
      <c r="M21" s="117">
        <f>'Alt2-4'!G76</f>
        <v>447.13737571768661</v>
      </c>
      <c r="N21" s="105">
        <f>'Alt3-1'!I50</f>
        <v>3429.855690442475</v>
      </c>
      <c r="O21" s="106">
        <f>'Alt3-1'!I76</f>
        <v>778.10670774401342</v>
      </c>
      <c r="P21" s="105">
        <f>'Alt3-2a'!I50</f>
        <v>2384.3999999999992</v>
      </c>
      <c r="Q21" s="106">
        <f>'Alt3-2a'!I90</f>
        <v>603.5</v>
      </c>
      <c r="R21" s="117">
        <f>'Alt3-3a'!I50</f>
        <v>1834.7942489849988</v>
      </c>
      <c r="S21" s="106">
        <f>'Alt3-3a'!I76</f>
        <v>463.6876061094527</v>
      </c>
      <c r="T21"/>
      <c r="U21" s="2">
        <v>2805</v>
      </c>
      <c r="V21">
        <v>710</v>
      </c>
      <c r="W21">
        <f t="shared" si="0"/>
        <v>3515</v>
      </c>
    </row>
    <row r="22" spans="1:23" x14ac:dyDescent="0.25">
      <c r="A22" s="20">
        <v>2017</v>
      </c>
      <c r="B22" s="21">
        <f>Indices!B21</f>
        <v>126684</v>
      </c>
      <c r="C22" s="21">
        <f>Indices!C21</f>
        <v>7250</v>
      </c>
      <c r="D22" s="105">
        <f>'Alt1'!G34</f>
        <v>2805</v>
      </c>
      <c r="E22" s="106">
        <f>'Alt1'!H34</f>
        <v>710</v>
      </c>
      <c r="F22" s="105">
        <f>'Alt2-1'!G51</f>
        <v>2915.3773368761035</v>
      </c>
      <c r="G22" s="106">
        <f>'Alt2-1'!G77</f>
        <v>720.83741772860947</v>
      </c>
      <c r="H22" s="105">
        <f>'Alt2-2'!D51</f>
        <v>2025</v>
      </c>
      <c r="I22" s="106">
        <f>'Alt2-2'!J51</f>
        <v>710</v>
      </c>
      <c r="J22" s="105">
        <f>'Alt2-3'!G51</f>
        <v>2915.3773368761035</v>
      </c>
      <c r="K22" s="106">
        <f>'Alt2-3'!G77</f>
        <v>720.83741772860947</v>
      </c>
      <c r="L22" s="117">
        <f>'Alt2-4'!G51</f>
        <v>1622.2874947486346</v>
      </c>
      <c r="M22" s="117">
        <f>'Alt2-4'!G77</f>
        <v>414.22769920179246</v>
      </c>
      <c r="N22" s="105">
        <f>'Alt3-1'!I51</f>
        <v>2915.3773368761035</v>
      </c>
      <c r="O22" s="106">
        <f>'Alt3-1'!I77</f>
        <v>720.83741772860947</v>
      </c>
      <c r="P22" s="105">
        <f>'Alt3-2a'!I51</f>
        <v>2103.9999999999995</v>
      </c>
      <c r="Q22" s="106">
        <f>'Alt3-2a'!I91</f>
        <v>532.5</v>
      </c>
      <c r="R22" s="117">
        <f>'Alt3-3a'!I51</f>
        <v>1591.1312070984761</v>
      </c>
      <c r="S22" s="106">
        <f>'Alt3-3a'!I77</f>
        <v>402.10929418035704</v>
      </c>
      <c r="T22"/>
      <c r="U22" s="2">
        <v>2805</v>
      </c>
      <c r="V22">
        <v>710</v>
      </c>
      <c r="W22">
        <f t="shared" si="0"/>
        <v>3515</v>
      </c>
    </row>
    <row r="23" spans="1:23" x14ac:dyDescent="0.25">
      <c r="A23" s="24">
        <v>2018</v>
      </c>
      <c r="B23" s="25">
        <f>Indices!B22</f>
        <v>125702</v>
      </c>
      <c r="C23" s="25">
        <f>Indices!C22</f>
        <v>7141</v>
      </c>
      <c r="D23" s="143">
        <f>'Alt1'!G35</f>
        <v>2805</v>
      </c>
      <c r="E23" s="144">
        <f>'Alt1'!H35</f>
        <v>710</v>
      </c>
      <c r="F23" s="143">
        <f>'Alt2-1'!G52</f>
        <v>2805</v>
      </c>
      <c r="G23" s="144">
        <f>'Alt2-1'!G78</f>
        <v>710</v>
      </c>
      <c r="H23" s="143">
        <f>'Alt2-2'!D52</f>
        <v>2025</v>
      </c>
      <c r="I23" s="144">
        <f>'Alt2-2'!J52</f>
        <v>710</v>
      </c>
      <c r="J23" s="143">
        <f>'Alt2-3'!G52</f>
        <v>2805</v>
      </c>
      <c r="K23" s="144">
        <f>'Alt2-3'!G78</f>
        <v>710</v>
      </c>
      <c r="L23" s="145">
        <f>'Alt2-4'!G52</f>
        <v>1610</v>
      </c>
      <c r="M23" s="145">
        <f>'Alt2-4'!G78</f>
        <v>408</v>
      </c>
      <c r="N23" s="143">
        <f>'Alt3-1'!I52</f>
        <v>2805</v>
      </c>
      <c r="O23" s="144">
        <f>'Alt3-1'!I78</f>
        <v>710</v>
      </c>
      <c r="P23" s="143">
        <f>'Alt3-2a'!I52</f>
        <v>2103.9999999999995</v>
      </c>
      <c r="Q23" s="144">
        <f>'Alt3-2a'!I92</f>
        <v>532.5</v>
      </c>
      <c r="R23" s="145">
        <f>'Alt3-3a'!I52</f>
        <v>1563</v>
      </c>
      <c r="S23" s="144">
        <f>'Alt3-3a'!I78</f>
        <v>395</v>
      </c>
      <c r="U23" s="2">
        <v>2805</v>
      </c>
      <c r="V23">
        <v>710</v>
      </c>
      <c r="W23">
        <f t="shared" ref="W23" si="1">SUM(U23:V23)</f>
        <v>3515</v>
      </c>
    </row>
  </sheetData>
  <mergeCells count="8">
    <mergeCell ref="P1:Q1"/>
    <mergeCell ref="R1:S1"/>
    <mergeCell ref="D1:E1"/>
    <mergeCell ref="F1:G1"/>
    <mergeCell ref="N1:O1"/>
    <mergeCell ref="H1:I1"/>
    <mergeCell ref="J1:K1"/>
    <mergeCell ref="L1:M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3"/>
  <sheetViews>
    <sheetView workbookViewId="0">
      <selection activeCell="A15" sqref="A15"/>
    </sheetView>
  </sheetViews>
  <sheetFormatPr defaultRowHeight="15" x14ac:dyDescent="0.25"/>
  <cols>
    <col min="1" max="1" width="14.28515625" style="3" customWidth="1"/>
    <col min="2" max="4" width="14.28515625" style="2" customWidth="1"/>
    <col min="5" max="5" width="14.42578125" style="2" bestFit="1" customWidth="1"/>
    <col min="6" max="6" width="14.42578125" style="2" customWidth="1"/>
    <col min="7" max="8" width="14.28515625" style="2" customWidth="1"/>
    <col min="9" max="9" width="12.28515625" style="2" customWidth="1"/>
  </cols>
  <sheetData>
    <row r="1" spans="1:10" x14ac:dyDescent="0.25">
      <c r="A1" s="66" t="s">
        <v>50</v>
      </c>
      <c r="B1" s="63" t="s">
        <v>23</v>
      </c>
      <c r="C1" s="64" t="s">
        <v>66</v>
      </c>
      <c r="E1" s="46"/>
      <c r="F1" s="46" t="s">
        <v>1</v>
      </c>
      <c r="G1" s="46" t="s">
        <v>3</v>
      </c>
      <c r="H1" s="47" t="s">
        <v>5</v>
      </c>
      <c r="I1"/>
      <c r="J1" s="2"/>
    </row>
    <row r="2" spans="1:10" x14ac:dyDescent="0.25">
      <c r="A2" s="67" t="s">
        <v>20</v>
      </c>
      <c r="B2" s="100" t="s">
        <v>54</v>
      </c>
      <c r="C2" s="100" t="s">
        <v>54</v>
      </c>
      <c r="E2" s="43" t="s">
        <v>64</v>
      </c>
      <c r="F2" s="39" t="s">
        <v>2</v>
      </c>
      <c r="G2" s="39" t="s">
        <v>4</v>
      </c>
      <c r="H2" s="42" t="s">
        <v>6</v>
      </c>
      <c r="I2"/>
      <c r="J2" s="2"/>
    </row>
    <row r="3" spans="1:10" x14ac:dyDescent="0.25">
      <c r="A3" s="68" t="s">
        <v>49</v>
      </c>
      <c r="B3" s="101" t="s">
        <v>54</v>
      </c>
      <c r="C3" s="101" t="s">
        <v>54</v>
      </c>
      <c r="E3" s="44" t="s">
        <v>20</v>
      </c>
      <c r="F3" s="40">
        <v>2805</v>
      </c>
      <c r="G3" s="21" t="s">
        <v>54</v>
      </c>
      <c r="H3" s="37" t="s">
        <v>54</v>
      </c>
      <c r="I3"/>
      <c r="J3" s="2"/>
    </row>
    <row r="4" spans="1:10" x14ac:dyDescent="0.25">
      <c r="A4"/>
      <c r="B4"/>
      <c r="C4"/>
      <c r="E4" s="45" t="s">
        <v>49</v>
      </c>
      <c r="F4" s="41">
        <v>710</v>
      </c>
      <c r="G4" s="25" t="s">
        <v>54</v>
      </c>
      <c r="H4" s="38" t="s">
        <v>54</v>
      </c>
      <c r="I4"/>
    </row>
    <row r="5" spans="1:10" x14ac:dyDescent="0.25">
      <c r="A5"/>
      <c r="B5"/>
      <c r="C5"/>
      <c r="E5" s="49" t="s">
        <v>58</v>
      </c>
      <c r="F5" s="50">
        <f>SUM(F3:F4)</f>
        <v>3515</v>
      </c>
      <c r="G5" s="51" t="s">
        <v>54</v>
      </c>
      <c r="H5" s="52" t="s">
        <v>54</v>
      </c>
      <c r="I5"/>
    </row>
    <row r="6" spans="1:10" x14ac:dyDescent="0.25">
      <c r="A6" s="175" t="s">
        <v>16</v>
      </c>
      <c r="B6" s="175"/>
      <c r="F6"/>
    </row>
    <row r="7" spans="1:10" x14ac:dyDescent="0.25">
      <c r="A7" s="19" t="s">
        <v>9</v>
      </c>
      <c r="B7" s="4" t="s">
        <v>54</v>
      </c>
      <c r="D7" s="175" t="s">
        <v>17</v>
      </c>
      <c r="E7" s="175"/>
      <c r="F7"/>
      <c r="G7" s="176" t="s">
        <v>63</v>
      </c>
      <c r="H7" s="176"/>
    </row>
    <row r="8" spans="1:10" x14ac:dyDescent="0.25">
      <c r="A8" s="19" t="s">
        <v>10</v>
      </c>
      <c r="B8" s="4" t="s">
        <v>54</v>
      </c>
      <c r="D8" s="9" t="s">
        <v>61</v>
      </c>
      <c r="E8" s="4" t="s">
        <v>54</v>
      </c>
      <c r="F8"/>
      <c r="G8" s="33" t="s">
        <v>59</v>
      </c>
      <c r="H8" s="60" t="s">
        <v>54</v>
      </c>
    </row>
    <row r="9" spans="1:10" x14ac:dyDescent="0.25">
      <c r="D9" s="9" t="s">
        <v>62</v>
      </c>
      <c r="E9" s="4" t="s">
        <v>54</v>
      </c>
      <c r="G9" s="19" t="s">
        <v>60</v>
      </c>
      <c r="H9" s="61" t="s">
        <v>54</v>
      </c>
    </row>
    <row r="10" spans="1:10" x14ac:dyDescent="0.25">
      <c r="A10" s="172" t="s">
        <v>65</v>
      </c>
      <c r="B10" s="173"/>
      <c r="C10" s="174"/>
      <c r="D10"/>
      <c r="E10"/>
      <c r="F10"/>
      <c r="I10"/>
    </row>
    <row r="11" spans="1:10" ht="15" customHeight="1" x14ac:dyDescent="0.25">
      <c r="A11" s="55"/>
      <c r="B11" s="56" t="s">
        <v>18</v>
      </c>
      <c r="C11" s="57" t="s">
        <v>19</v>
      </c>
    </row>
    <row r="12" spans="1:10" ht="15" customHeight="1" x14ac:dyDescent="0.25">
      <c r="A12" s="53" t="s">
        <v>20</v>
      </c>
      <c r="B12" s="48">
        <v>2018</v>
      </c>
      <c r="C12" s="58" t="s">
        <v>54</v>
      </c>
      <c r="D12" s="11">
        <f>IF(B12="Mean",AVERAGE(B15:B35),VLOOKUP(B12,A15:B35,2))</f>
        <v>125702</v>
      </c>
      <c r="E12" s="11"/>
    </row>
    <row r="13" spans="1:10" x14ac:dyDescent="0.25">
      <c r="A13" s="54" t="s">
        <v>49</v>
      </c>
      <c r="B13" s="62">
        <v>2018</v>
      </c>
      <c r="C13" s="59" t="s">
        <v>54</v>
      </c>
      <c r="D13" s="11">
        <f>IF(B13="Mean",AVERAGE(D15:D35),VLOOKUP(B13,A15:D35,4))</f>
        <v>7141</v>
      </c>
      <c r="E13" s="7"/>
    </row>
    <row r="14" spans="1:10" ht="45" x14ac:dyDescent="0.25">
      <c r="A14" s="29" t="s">
        <v>0</v>
      </c>
      <c r="B14" s="30" t="s">
        <v>51</v>
      </c>
      <c r="C14" s="31" t="s">
        <v>52</v>
      </c>
      <c r="D14" s="32" t="s">
        <v>53</v>
      </c>
      <c r="E14" s="31" t="s">
        <v>52</v>
      </c>
      <c r="F14"/>
      <c r="G14" s="5" t="s">
        <v>56</v>
      </c>
      <c r="H14" s="5" t="s">
        <v>57</v>
      </c>
      <c r="I14" s="5"/>
      <c r="J14" s="1"/>
    </row>
    <row r="15" spans="1:10" x14ac:dyDescent="0.25">
      <c r="A15" s="20">
        <v>1998</v>
      </c>
      <c r="B15" s="27">
        <f>Indices!B2</f>
        <v>161256</v>
      </c>
      <c r="C15" s="23">
        <f t="shared" ref="C15:C35" si="0">B15/D$12</f>
        <v>1.2828435506197196</v>
      </c>
      <c r="D15" s="21">
        <f>Indices!C2</f>
        <v>18502</v>
      </c>
      <c r="E15" s="23">
        <f>D15/D$13</f>
        <v>2.5909536479484667</v>
      </c>
      <c r="F15"/>
      <c r="G15" s="6">
        <f t="shared" ref="G15:G35" si="1">$F$3</f>
        <v>2805</v>
      </c>
      <c r="H15" s="6">
        <f t="shared" ref="H15:H35" si="2">$F$4</f>
        <v>710</v>
      </c>
      <c r="I15" s="14"/>
    </row>
    <row r="16" spans="1:10" x14ac:dyDescent="0.25">
      <c r="A16" s="20">
        <v>1999</v>
      </c>
      <c r="B16" s="27">
        <f>Indices!B3</f>
        <v>129116</v>
      </c>
      <c r="C16" s="23">
        <f t="shared" si="0"/>
        <v>1.0271594724029849</v>
      </c>
      <c r="D16" s="21">
        <f>Indices!C3</f>
        <v>16201</v>
      </c>
      <c r="E16" s="23">
        <f>D16/D$13</f>
        <v>2.2687298697661391</v>
      </c>
      <c r="F16"/>
      <c r="G16" s="6">
        <f t="shared" si="1"/>
        <v>2805</v>
      </c>
      <c r="H16" s="6">
        <f t="shared" si="2"/>
        <v>710</v>
      </c>
      <c r="I16" s="14"/>
      <c r="J16" s="13"/>
    </row>
    <row r="17" spans="1:10" x14ac:dyDescent="0.25">
      <c r="A17" s="20">
        <v>2000</v>
      </c>
      <c r="B17" s="27">
        <f>Indices!B4</f>
        <v>118677</v>
      </c>
      <c r="C17" s="23">
        <f t="shared" si="0"/>
        <v>0.94411385658143865</v>
      </c>
      <c r="D17" s="21">
        <f>Indices!C4</f>
        <v>16203</v>
      </c>
      <c r="E17" s="23">
        <f t="shared" ref="E17:E34" si="3">D17/D$13</f>
        <v>2.2690099425850723</v>
      </c>
      <c r="F17"/>
      <c r="G17" s="6">
        <f t="shared" si="1"/>
        <v>2805</v>
      </c>
      <c r="H17" s="6">
        <f t="shared" si="2"/>
        <v>710</v>
      </c>
      <c r="I17" s="14"/>
      <c r="J17" s="13"/>
    </row>
    <row r="18" spans="1:10" x14ac:dyDescent="0.25">
      <c r="A18" s="20">
        <v>2001</v>
      </c>
      <c r="B18" s="27">
        <f>Indices!B5</f>
        <v>141219</v>
      </c>
      <c r="C18" s="23">
        <f t="shared" si="0"/>
        <v>1.1234427455410416</v>
      </c>
      <c r="D18" s="21">
        <f>Indices!C5</f>
        <v>13780</v>
      </c>
      <c r="E18" s="23">
        <f t="shared" si="3"/>
        <v>1.9297017224478363</v>
      </c>
      <c r="F18"/>
      <c r="G18" s="6">
        <f t="shared" si="1"/>
        <v>2805</v>
      </c>
      <c r="H18" s="6">
        <f t="shared" si="2"/>
        <v>710</v>
      </c>
      <c r="I18" s="14"/>
      <c r="J18" s="13"/>
    </row>
    <row r="19" spans="1:10" x14ac:dyDescent="0.25">
      <c r="A19" s="20">
        <v>2002</v>
      </c>
      <c r="B19" s="27">
        <f>Indices!B6</f>
        <v>101706</v>
      </c>
      <c r="C19" s="23">
        <f t="shared" si="0"/>
        <v>0.80910407153426356</v>
      </c>
      <c r="D19" s="21">
        <f>Indices!C6</f>
        <v>12104</v>
      </c>
      <c r="E19" s="23">
        <f t="shared" si="3"/>
        <v>1.6950007001820473</v>
      </c>
      <c r="F19"/>
      <c r="G19" s="6">
        <f t="shared" si="1"/>
        <v>2805</v>
      </c>
      <c r="H19" s="6">
        <f t="shared" si="2"/>
        <v>710</v>
      </c>
      <c r="I19" s="14"/>
      <c r="J19" s="13"/>
    </row>
    <row r="20" spans="1:10" x14ac:dyDescent="0.25">
      <c r="A20" s="20">
        <v>2003</v>
      </c>
      <c r="B20" s="27">
        <f>Indices!B7</f>
        <v>132151</v>
      </c>
      <c r="C20" s="23">
        <f t="shared" si="0"/>
        <v>1.0513038774243846</v>
      </c>
      <c r="D20" s="21">
        <f>Indices!C7</f>
        <v>10866</v>
      </c>
      <c r="E20" s="23">
        <f t="shared" si="3"/>
        <v>1.5216356252625682</v>
      </c>
      <c r="F20"/>
      <c r="G20" s="6">
        <f t="shared" si="1"/>
        <v>2805</v>
      </c>
      <c r="H20" s="6">
        <f t="shared" si="2"/>
        <v>710</v>
      </c>
      <c r="I20" s="14"/>
      <c r="J20" s="13"/>
    </row>
    <row r="21" spans="1:10" x14ac:dyDescent="0.25">
      <c r="A21" s="20">
        <v>2004</v>
      </c>
      <c r="B21" s="27">
        <f>Indices!B8</f>
        <v>130075</v>
      </c>
      <c r="C21" s="23">
        <f t="shared" si="0"/>
        <v>1.0347886270703728</v>
      </c>
      <c r="D21" s="21">
        <f>Indices!C8</f>
        <v>9987</v>
      </c>
      <c r="E21" s="23">
        <f t="shared" si="3"/>
        <v>1.3985436213415487</v>
      </c>
      <c r="F21"/>
      <c r="G21" s="6">
        <f t="shared" si="1"/>
        <v>2805</v>
      </c>
      <c r="H21" s="6">
        <f t="shared" si="2"/>
        <v>710</v>
      </c>
      <c r="I21" s="14"/>
      <c r="J21" s="13"/>
    </row>
    <row r="22" spans="1:10" x14ac:dyDescent="0.25">
      <c r="A22" s="20">
        <v>2005</v>
      </c>
      <c r="B22" s="27">
        <f>Indices!B9</f>
        <v>132518</v>
      </c>
      <c r="C22" s="23">
        <f t="shared" si="0"/>
        <v>1.0542234809310911</v>
      </c>
      <c r="D22" s="21">
        <f>Indices!C9</f>
        <v>9550</v>
      </c>
      <c r="E22" s="23">
        <f t="shared" si="3"/>
        <v>1.3373477104047051</v>
      </c>
      <c r="F22"/>
      <c r="G22" s="6">
        <f t="shared" si="1"/>
        <v>2805</v>
      </c>
      <c r="H22" s="6">
        <f t="shared" si="2"/>
        <v>710</v>
      </c>
      <c r="I22" s="14"/>
      <c r="J22" s="13"/>
    </row>
    <row r="23" spans="1:10" x14ac:dyDescent="0.25">
      <c r="A23" s="20">
        <v>2006</v>
      </c>
      <c r="B23" s="27">
        <f>Indices!B10</f>
        <v>155964</v>
      </c>
      <c r="C23" s="23">
        <f t="shared" si="0"/>
        <v>1.2407439817982211</v>
      </c>
      <c r="D23" s="21">
        <f>Indices!C10</f>
        <v>9802</v>
      </c>
      <c r="E23" s="23">
        <f t="shared" si="3"/>
        <v>1.3726368855902535</v>
      </c>
      <c r="F23"/>
      <c r="G23" s="6">
        <f t="shared" si="1"/>
        <v>2805</v>
      </c>
      <c r="H23" s="6">
        <f t="shared" si="2"/>
        <v>710</v>
      </c>
      <c r="I23" s="14"/>
      <c r="J23" s="13"/>
    </row>
    <row r="24" spans="1:10" x14ac:dyDescent="0.25">
      <c r="A24" s="20">
        <v>2007</v>
      </c>
      <c r="B24" s="27">
        <f>Indices!B11</f>
        <v>143903</v>
      </c>
      <c r="C24" s="23">
        <f t="shared" si="0"/>
        <v>1.1447948322222399</v>
      </c>
      <c r="D24" s="21">
        <f>Indices!C11</f>
        <v>9673</v>
      </c>
      <c r="E24" s="23">
        <f t="shared" si="3"/>
        <v>1.35457218876908</v>
      </c>
      <c r="F24"/>
      <c r="G24" s="6">
        <f t="shared" si="1"/>
        <v>2805</v>
      </c>
      <c r="H24" s="6">
        <f t="shared" si="2"/>
        <v>710</v>
      </c>
      <c r="I24" s="14"/>
      <c r="J24" s="13"/>
    </row>
    <row r="25" spans="1:10" x14ac:dyDescent="0.25">
      <c r="A25" s="20">
        <v>2008</v>
      </c>
      <c r="B25" s="27">
        <f>Indices!B12</f>
        <v>140247</v>
      </c>
      <c r="C25" s="23">
        <f t="shared" si="0"/>
        <v>1.1157101716758684</v>
      </c>
      <c r="D25" s="21">
        <f>Indices!C12</f>
        <v>10264</v>
      </c>
      <c r="E25" s="23">
        <f t="shared" si="3"/>
        <v>1.4373337067637586</v>
      </c>
      <c r="F25"/>
      <c r="G25" s="6">
        <f t="shared" si="1"/>
        <v>2805</v>
      </c>
      <c r="H25" s="6">
        <f t="shared" si="2"/>
        <v>710</v>
      </c>
      <c r="I25" s="14"/>
      <c r="J25" s="13"/>
    </row>
    <row r="26" spans="1:10" x14ac:dyDescent="0.25">
      <c r="A26" s="20">
        <v>2009</v>
      </c>
      <c r="B26" s="27">
        <f>Indices!B13</f>
        <v>168102</v>
      </c>
      <c r="C26" s="23">
        <f t="shared" si="0"/>
        <v>1.3373056912380072</v>
      </c>
      <c r="D26" s="21">
        <f>Indices!C13</f>
        <v>9834</v>
      </c>
      <c r="E26" s="23">
        <f t="shared" si="3"/>
        <v>1.3771180506931802</v>
      </c>
      <c r="F26"/>
      <c r="G26" s="6">
        <f t="shared" si="1"/>
        <v>2805</v>
      </c>
      <c r="H26" s="6">
        <f t="shared" si="2"/>
        <v>710</v>
      </c>
      <c r="I26" s="14"/>
      <c r="J26" s="13"/>
    </row>
    <row r="27" spans="1:10" x14ac:dyDescent="0.25">
      <c r="A27" s="20">
        <v>2010</v>
      </c>
      <c r="B27" s="27">
        <f>Indices!B14</f>
        <v>195535</v>
      </c>
      <c r="C27" s="23">
        <f t="shared" si="0"/>
        <v>1.5555440645335794</v>
      </c>
      <c r="D27" s="21">
        <f>Indices!C14</f>
        <v>9146</v>
      </c>
      <c r="E27" s="23">
        <f t="shared" si="3"/>
        <v>1.2807730009802549</v>
      </c>
      <c r="F27"/>
      <c r="G27" s="6">
        <f t="shared" si="1"/>
        <v>2805</v>
      </c>
      <c r="H27" s="6">
        <f t="shared" si="2"/>
        <v>710</v>
      </c>
      <c r="I27" s="14"/>
      <c r="J27" s="13"/>
    </row>
    <row r="28" spans="1:10" x14ac:dyDescent="0.25">
      <c r="A28" s="20">
        <v>2011</v>
      </c>
      <c r="B28" s="27">
        <f>Indices!B15</f>
        <v>186666</v>
      </c>
      <c r="C28" s="23">
        <f t="shared" si="0"/>
        <v>1.4849883056753275</v>
      </c>
      <c r="D28" s="21">
        <f>Indices!C15</f>
        <v>8669</v>
      </c>
      <c r="E28" s="23">
        <f t="shared" si="3"/>
        <v>1.2139756336647529</v>
      </c>
      <c r="F28"/>
      <c r="G28" s="6">
        <f t="shared" si="1"/>
        <v>2805</v>
      </c>
      <c r="H28" s="6">
        <f t="shared" si="2"/>
        <v>710</v>
      </c>
      <c r="I28" s="14"/>
      <c r="J28" s="13"/>
    </row>
    <row r="29" spans="1:10" x14ac:dyDescent="0.25">
      <c r="A29" s="20">
        <v>2012</v>
      </c>
      <c r="B29" s="27">
        <f>Indices!B16</f>
        <v>189000</v>
      </c>
      <c r="C29" s="23">
        <f t="shared" si="0"/>
        <v>1.5035560293392309</v>
      </c>
      <c r="D29" s="21">
        <f>Indices!C16</f>
        <v>8403</v>
      </c>
      <c r="E29" s="23">
        <f t="shared" si="3"/>
        <v>1.1767259487466741</v>
      </c>
      <c r="F29"/>
      <c r="G29" s="6">
        <f t="shared" si="1"/>
        <v>2805</v>
      </c>
      <c r="H29" s="6">
        <f t="shared" si="2"/>
        <v>710</v>
      </c>
      <c r="I29" s="14"/>
      <c r="J29" s="13"/>
    </row>
    <row r="30" spans="1:10" x14ac:dyDescent="0.25">
      <c r="A30" s="20">
        <v>2013</v>
      </c>
      <c r="B30" s="27">
        <f>Indices!B17</f>
        <v>183989</v>
      </c>
      <c r="C30" s="23">
        <f t="shared" si="0"/>
        <v>1.4636919062544749</v>
      </c>
      <c r="D30" s="21">
        <f>Indices!C17</f>
        <v>7989</v>
      </c>
      <c r="E30" s="23">
        <f t="shared" si="3"/>
        <v>1.1187508752275592</v>
      </c>
      <c r="F30"/>
      <c r="G30" s="6">
        <f t="shared" si="1"/>
        <v>2805</v>
      </c>
      <c r="H30" s="6">
        <f t="shared" si="2"/>
        <v>710</v>
      </c>
      <c r="I30" s="14"/>
      <c r="J30" s="13"/>
    </row>
    <row r="31" spans="1:10" x14ac:dyDescent="0.25">
      <c r="A31" s="20">
        <v>2014</v>
      </c>
      <c r="B31" s="27">
        <f>Indices!B18</f>
        <v>171427</v>
      </c>
      <c r="C31" s="23">
        <f t="shared" si="0"/>
        <v>1.3637571399023087</v>
      </c>
      <c r="D31" s="21">
        <f>Indices!C18</f>
        <v>7995</v>
      </c>
      <c r="E31" s="23">
        <f t="shared" si="3"/>
        <v>1.1195910936843578</v>
      </c>
      <c r="F31"/>
      <c r="G31" s="6">
        <f t="shared" si="1"/>
        <v>2805</v>
      </c>
      <c r="H31" s="6">
        <f t="shared" si="2"/>
        <v>710</v>
      </c>
      <c r="I31" s="14"/>
      <c r="J31" s="13"/>
    </row>
    <row r="32" spans="1:10" x14ac:dyDescent="0.25">
      <c r="A32" s="20">
        <v>2015</v>
      </c>
      <c r="B32" s="27">
        <f>Indices!B19</f>
        <v>172237</v>
      </c>
      <c r="C32" s="23">
        <f t="shared" si="0"/>
        <v>1.3702009514566196</v>
      </c>
      <c r="D32" s="21">
        <f>Indices!C19</f>
        <v>8130</v>
      </c>
      <c r="E32" s="23">
        <f t="shared" si="3"/>
        <v>1.1384960089623302</v>
      </c>
      <c r="F32"/>
      <c r="G32" s="6">
        <f t="shared" si="1"/>
        <v>2805</v>
      </c>
      <c r="H32" s="6">
        <f t="shared" si="2"/>
        <v>710</v>
      </c>
      <c r="I32" s="14"/>
      <c r="J32" s="13"/>
    </row>
    <row r="33" spans="1:10" x14ac:dyDescent="0.25">
      <c r="A33" s="20">
        <v>2016</v>
      </c>
      <c r="B33" s="27">
        <f>Indices!B20</f>
        <v>153704</v>
      </c>
      <c r="C33" s="23">
        <f t="shared" si="0"/>
        <v>1.2227649520294028</v>
      </c>
      <c r="D33" s="21">
        <f>Indices!C20</f>
        <v>7826</v>
      </c>
      <c r="E33" s="23">
        <f t="shared" si="3"/>
        <v>1.0959249404845259</v>
      </c>
      <c r="F33"/>
      <c r="G33" s="6">
        <f t="shared" si="1"/>
        <v>2805</v>
      </c>
      <c r="H33" s="6">
        <f t="shared" si="2"/>
        <v>710</v>
      </c>
      <c r="I33" s="14"/>
      <c r="J33" s="13"/>
    </row>
    <row r="34" spans="1:10" x14ac:dyDescent="0.25">
      <c r="A34" s="34">
        <v>2017</v>
      </c>
      <c r="B34" s="27">
        <f>Indices!B21</f>
        <v>126684</v>
      </c>
      <c r="C34" s="23">
        <f t="shared" si="0"/>
        <v>1.0078121270942388</v>
      </c>
      <c r="D34" s="21">
        <f>Indices!C21</f>
        <v>7250</v>
      </c>
      <c r="E34" s="23">
        <f t="shared" si="3"/>
        <v>1.0152639686318443</v>
      </c>
      <c r="F34"/>
      <c r="G34" s="6">
        <f t="shared" si="1"/>
        <v>2805</v>
      </c>
      <c r="H34" s="6">
        <f t="shared" si="2"/>
        <v>710</v>
      </c>
      <c r="I34" s="14"/>
      <c r="J34" s="13"/>
    </row>
    <row r="35" spans="1:10" x14ac:dyDescent="0.25">
      <c r="A35" s="24">
        <v>2018</v>
      </c>
      <c r="B35" s="28">
        <f>Indices!B22</f>
        <v>125702</v>
      </c>
      <c r="C35" s="26">
        <f t="shared" si="0"/>
        <v>1</v>
      </c>
      <c r="D35" s="25">
        <f>Indices!C22</f>
        <v>7141</v>
      </c>
      <c r="E35" s="26">
        <f>D35/D$13</f>
        <v>1</v>
      </c>
      <c r="F35"/>
      <c r="G35" s="6">
        <f t="shared" si="1"/>
        <v>2805</v>
      </c>
      <c r="H35" s="6">
        <f t="shared" si="2"/>
        <v>710</v>
      </c>
      <c r="I35"/>
      <c r="J35" s="13"/>
    </row>
    <row r="36" spans="1:10" x14ac:dyDescent="0.25">
      <c r="F36"/>
    </row>
    <row r="37" spans="1:10" x14ac:dyDescent="0.25">
      <c r="A37" s="3" t="s">
        <v>13</v>
      </c>
      <c r="B37">
        <v>100000</v>
      </c>
      <c r="C37">
        <f>B37/$D$12</f>
        <v>0.79553229065567777</v>
      </c>
      <c r="D37">
        <v>9000</v>
      </c>
      <c r="E37">
        <f>D37/$D$13</f>
        <v>1.2603276851981515</v>
      </c>
      <c r="F37"/>
      <c r="G37" s="6">
        <f>$F$3</f>
        <v>2805</v>
      </c>
      <c r="H37" s="6">
        <f>$F$4</f>
        <v>710</v>
      </c>
      <c r="I37" s="14"/>
      <c r="J37" s="13"/>
    </row>
    <row r="38" spans="1:10" x14ac:dyDescent="0.25">
      <c r="F38"/>
      <c r="J38" s="2"/>
    </row>
    <row r="39" spans="1:10" x14ac:dyDescent="0.25">
      <c r="J39" s="2"/>
    </row>
    <row r="42" spans="1:10" x14ac:dyDescent="0.25">
      <c r="A42" s="3" t="s">
        <v>14</v>
      </c>
    </row>
    <row r="43" spans="1:10" x14ac:dyDescent="0.25">
      <c r="B43" s="3" t="s">
        <v>55</v>
      </c>
      <c r="G43"/>
      <c r="H43"/>
      <c r="I43"/>
    </row>
  </sheetData>
  <mergeCells count="4">
    <mergeCell ref="A10:C10"/>
    <mergeCell ref="D7:E7"/>
    <mergeCell ref="G7:H7"/>
    <mergeCell ref="A6:B6"/>
  </mergeCells>
  <conditionalFormatting sqref="V16:AW34 K44:AT76 K40:AT42 L38:AW39 V36:AW37">
    <cfRule type="colorScale" priority="7">
      <colorScale>
        <cfvo type="min"/>
        <cfvo type="percentile" val="50"/>
        <cfvo type="max"/>
        <color rgb="FFF8696B"/>
        <color rgb="FFFFEB84"/>
        <color rgb="FF63BE7B"/>
      </colorScale>
    </cfRule>
  </conditionalFormatting>
  <pageMargins left="0.7" right="0.7" top="0.75" bottom="0.75" header="0.3" footer="0.3"/>
  <pageSetup orientation="portrait" horizontalDpi="0" verticalDpi="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Indices!$B$1:$C$1</xm:f>
          </x14:formula1>
          <xm:sqref>B2:B3</xm:sqref>
        </x14:dataValidation>
        <x14:dataValidation type="list" allowBlank="1" showInputMessage="1" showErrorMessage="1" xr:uid="{00000000-0002-0000-0200-000001000000}">
          <x14:formula1>
            <xm:f>Indices!$A$2:$A$23</xm:f>
          </x14:formula1>
          <xm:sqref>B12 B13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80"/>
  <sheetViews>
    <sheetView zoomScale="90" zoomScaleNormal="90" workbookViewId="0">
      <selection activeCell="E33" sqref="E33"/>
    </sheetView>
  </sheetViews>
  <sheetFormatPr defaultRowHeight="15" x14ac:dyDescent="0.25"/>
  <cols>
    <col min="1" max="1" width="14.28515625" style="3" customWidth="1"/>
    <col min="2" max="8" width="14.28515625" style="2" customWidth="1"/>
    <col min="9" max="9" width="12.28515625" style="2" customWidth="1"/>
    <col min="10" max="10" width="11" customWidth="1"/>
    <col min="11" max="11" width="13.28515625" customWidth="1"/>
    <col min="12" max="12" width="16.28515625" customWidth="1"/>
  </cols>
  <sheetData>
    <row r="1" spans="1:11" x14ac:dyDescent="0.25">
      <c r="A1" s="66" t="s">
        <v>50</v>
      </c>
      <c r="B1" s="63" t="s">
        <v>23</v>
      </c>
      <c r="C1" s="64" t="s">
        <v>66</v>
      </c>
      <c r="E1" s="69"/>
      <c r="F1" s="46" t="s">
        <v>1</v>
      </c>
      <c r="G1" s="46" t="s">
        <v>3</v>
      </c>
      <c r="H1" s="47" t="s">
        <v>5</v>
      </c>
    </row>
    <row r="2" spans="1:11" x14ac:dyDescent="0.25">
      <c r="A2" s="67" t="s">
        <v>20</v>
      </c>
      <c r="B2" s="96" t="s">
        <v>20</v>
      </c>
      <c r="C2" s="100" t="s">
        <v>54</v>
      </c>
      <c r="E2" s="43" t="s">
        <v>64</v>
      </c>
      <c r="F2" s="39" t="s">
        <v>2</v>
      </c>
      <c r="G2" s="39" t="s">
        <v>4</v>
      </c>
      <c r="H2" s="42" t="s">
        <v>6</v>
      </c>
    </row>
    <row r="3" spans="1:11" x14ac:dyDescent="0.25">
      <c r="A3" s="68" t="s">
        <v>49</v>
      </c>
      <c r="B3" s="98" t="s">
        <v>21</v>
      </c>
      <c r="C3" s="101" t="s">
        <v>54</v>
      </c>
      <c r="E3" s="44" t="s">
        <v>20</v>
      </c>
      <c r="F3" s="40">
        <v>2805</v>
      </c>
      <c r="G3" s="40">
        <v>3532</v>
      </c>
      <c r="H3" s="35">
        <v>1403</v>
      </c>
    </row>
    <row r="4" spans="1:11" x14ac:dyDescent="0.25">
      <c r="A4" s="10"/>
      <c r="B4"/>
      <c r="C4"/>
      <c r="E4" s="45" t="s">
        <v>49</v>
      </c>
      <c r="F4" s="41">
        <v>710</v>
      </c>
      <c r="G4" s="40">
        <v>894</v>
      </c>
      <c r="H4" s="35">
        <v>355</v>
      </c>
      <c r="I4"/>
    </row>
    <row r="5" spans="1:11" x14ac:dyDescent="0.25">
      <c r="A5"/>
      <c r="B5"/>
      <c r="C5"/>
      <c r="D5"/>
      <c r="E5" s="70" t="s">
        <v>58</v>
      </c>
      <c r="F5" s="50">
        <f>SUM(F3:F4)</f>
        <v>3515</v>
      </c>
      <c r="G5" s="51">
        <f>SUM(G3:G4)</f>
        <v>4426</v>
      </c>
      <c r="H5" s="52">
        <f>SUM(H3:H4)</f>
        <v>1758</v>
      </c>
      <c r="I5"/>
    </row>
    <row r="6" spans="1:11" x14ac:dyDescent="0.25">
      <c r="A6" s="177" t="s">
        <v>16</v>
      </c>
      <c r="B6" s="178"/>
      <c r="C6"/>
      <c r="D6"/>
      <c r="E6"/>
      <c r="F6"/>
      <c r="G6"/>
      <c r="H6"/>
      <c r="I6"/>
      <c r="K6" s="2"/>
    </row>
    <row r="7" spans="1:11" x14ac:dyDescent="0.25">
      <c r="A7" s="71" t="s">
        <v>9</v>
      </c>
      <c r="B7" s="58" t="s">
        <v>54</v>
      </c>
      <c r="C7"/>
      <c r="D7" s="177" t="s">
        <v>17</v>
      </c>
      <c r="E7" s="178"/>
      <c r="F7"/>
      <c r="G7" s="179" t="s">
        <v>63</v>
      </c>
      <c r="H7" s="180"/>
      <c r="I7"/>
      <c r="J7" s="3"/>
      <c r="K7" s="2"/>
    </row>
    <row r="8" spans="1:11" x14ac:dyDescent="0.25">
      <c r="A8" s="72" t="s">
        <v>10</v>
      </c>
      <c r="B8" s="59" t="s">
        <v>54</v>
      </c>
      <c r="C8"/>
      <c r="D8" s="94" t="s">
        <v>61</v>
      </c>
      <c r="E8" s="58" t="s">
        <v>54</v>
      </c>
      <c r="F8"/>
      <c r="G8" s="73" t="s">
        <v>59</v>
      </c>
      <c r="H8" s="75">
        <v>0.15</v>
      </c>
      <c r="I8"/>
    </row>
    <row r="9" spans="1:11" x14ac:dyDescent="0.25">
      <c r="A9"/>
      <c r="B9"/>
      <c r="C9"/>
      <c r="D9" s="95" t="s">
        <v>62</v>
      </c>
      <c r="E9" s="59" t="s">
        <v>54</v>
      </c>
      <c r="F9"/>
      <c r="G9" s="74" t="s">
        <v>60</v>
      </c>
      <c r="H9" s="76">
        <v>0.15</v>
      </c>
      <c r="I9"/>
    </row>
    <row r="10" spans="1:11" ht="15" customHeight="1" x14ac:dyDescent="0.25">
      <c r="A10" s="172" t="s">
        <v>65</v>
      </c>
      <c r="B10" s="173"/>
      <c r="C10" s="174"/>
      <c r="I10"/>
    </row>
    <row r="11" spans="1:11" x14ac:dyDescent="0.25">
      <c r="A11" s="55"/>
      <c r="B11" s="56" t="s">
        <v>18</v>
      </c>
      <c r="C11" s="57" t="s">
        <v>19</v>
      </c>
    </row>
    <row r="12" spans="1:11" ht="15" customHeight="1" x14ac:dyDescent="0.25">
      <c r="A12" s="53" t="s">
        <v>20</v>
      </c>
      <c r="B12" s="40">
        <v>2018</v>
      </c>
      <c r="C12" s="58" t="s">
        <v>54</v>
      </c>
      <c r="D12" s="11">
        <f>IF(B12="Mean",AVERAGE(B32:B52),VLOOKUP(B12,A32:D52,2))</f>
        <v>125702</v>
      </c>
      <c r="E12" s="11"/>
      <c r="G12"/>
      <c r="H12"/>
      <c r="I12"/>
    </row>
    <row r="13" spans="1:11" x14ac:dyDescent="0.25">
      <c r="A13" s="54" t="s">
        <v>49</v>
      </c>
      <c r="B13" s="41">
        <v>2018</v>
      </c>
      <c r="C13" s="59" t="s">
        <v>54</v>
      </c>
      <c r="D13" s="11">
        <f>IF(B13="Mean",AVERAGE(B58:B78),VLOOKUP(B13,A58:D78,2))</f>
        <v>7141</v>
      </c>
      <c r="E13" s="11"/>
      <c r="G13"/>
      <c r="H13"/>
      <c r="I13"/>
    </row>
    <row r="14" spans="1:11" x14ac:dyDescent="0.25">
      <c r="A14" s="65"/>
      <c r="B14"/>
      <c r="C14" s="48"/>
      <c r="D14" s="11"/>
      <c r="E14" s="11"/>
      <c r="G14"/>
      <c r="H14"/>
      <c r="I14"/>
    </row>
    <row r="15" spans="1:11" x14ac:dyDescent="0.25">
      <c r="A15" s="65"/>
      <c r="B15"/>
      <c r="C15" s="48"/>
      <c r="D15" s="11"/>
      <c r="E15" s="11"/>
      <c r="G15"/>
      <c r="H15"/>
      <c r="I15"/>
    </row>
    <row r="16" spans="1:11" x14ac:dyDescent="0.25">
      <c r="A16" s="65"/>
      <c r="B16"/>
      <c r="C16" s="48"/>
      <c r="D16" s="11"/>
      <c r="E16" s="11"/>
      <c r="G16"/>
      <c r="H16"/>
      <c r="I16"/>
    </row>
    <row r="17" spans="1:16" x14ac:dyDescent="0.25">
      <c r="A17" s="65"/>
      <c r="B17"/>
      <c r="C17" s="48"/>
      <c r="D17" s="11"/>
      <c r="E17" s="11"/>
      <c r="G17"/>
      <c r="H17"/>
      <c r="I17"/>
    </row>
    <row r="18" spans="1:16" x14ac:dyDescent="0.25">
      <c r="A18" s="65"/>
      <c r="B18"/>
      <c r="C18" s="48"/>
      <c r="D18" s="11"/>
      <c r="E18" s="11"/>
      <c r="G18"/>
      <c r="H18"/>
      <c r="I18"/>
    </row>
    <row r="19" spans="1:16" x14ac:dyDescent="0.25">
      <c r="A19" s="65"/>
      <c r="B19"/>
      <c r="C19" s="48"/>
      <c r="D19" s="11"/>
      <c r="E19" s="11"/>
      <c r="G19"/>
      <c r="H19"/>
      <c r="I19"/>
    </row>
    <row r="20" spans="1:16" x14ac:dyDescent="0.25">
      <c r="A20" s="65"/>
      <c r="B20"/>
      <c r="C20" s="48"/>
      <c r="D20" s="11"/>
      <c r="E20" s="11"/>
      <c r="G20"/>
      <c r="H20"/>
      <c r="I20"/>
    </row>
    <row r="21" spans="1:16" x14ac:dyDescent="0.25">
      <c r="A21" s="65"/>
      <c r="B21"/>
      <c r="C21" s="48"/>
      <c r="D21" s="11"/>
      <c r="E21" s="11"/>
      <c r="G21"/>
      <c r="H21"/>
      <c r="I21"/>
    </row>
    <row r="22" spans="1:16" x14ac:dyDescent="0.25">
      <c r="A22" s="65"/>
      <c r="B22"/>
      <c r="C22" s="48"/>
      <c r="D22" s="11"/>
      <c r="E22" s="11"/>
      <c r="G22"/>
      <c r="H22"/>
      <c r="I22"/>
    </row>
    <row r="23" spans="1:16" x14ac:dyDescent="0.25">
      <c r="A23" s="65"/>
      <c r="B23"/>
      <c r="C23" s="48"/>
      <c r="D23" s="11"/>
      <c r="E23" s="11"/>
      <c r="G23"/>
      <c r="H23"/>
      <c r="I23"/>
    </row>
    <row r="24" spans="1:16" x14ac:dyDescent="0.25">
      <c r="A24" s="65"/>
      <c r="B24"/>
      <c r="C24" s="48"/>
      <c r="D24" s="11"/>
      <c r="E24" s="11"/>
      <c r="G24"/>
      <c r="H24"/>
      <c r="I24"/>
    </row>
    <row r="25" spans="1:16" x14ac:dyDescent="0.25">
      <c r="A25" s="65"/>
      <c r="B25"/>
      <c r="C25" s="48"/>
      <c r="D25" s="11"/>
      <c r="E25" s="11"/>
      <c r="G25"/>
      <c r="H25"/>
      <c r="I25"/>
    </row>
    <row r="26" spans="1:16" x14ac:dyDescent="0.25">
      <c r="A26" s="65"/>
      <c r="B26"/>
      <c r="C26" s="48"/>
      <c r="D26" s="11"/>
      <c r="E26" s="11"/>
      <c r="G26"/>
      <c r="H26"/>
      <c r="I26"/>
    </row>
    <row r="27" spans="1:16" x14ac:dyDescent="0.25">
      <c r="A27" s="65"/>
      <c r="B27"/>
      <c r="C27" s="48"/>
      <c r="D27" s="11"/>
      <c r="E27" s="11"/>
      <c r="G27"/>
      <c r="H27"/>
      <c r="I27"/>
    </row>
    <row r="28" spans="1:16" x14ac:dyDescent="0.25">
      <c r="A28" s="65"/>
      <c r="B28"/>
      <c r="C28" s="48"/>
      <c r="D28" s="11"/>
      <c r="E28" s="11"/>
      <c r="G28"/>
      <c r="H28"/>
      <c r="I28"/>
    </row>
    <row r="29" spans="1:16" ht="15.75" thickBot="1" x14ac:dyDescent="0.3">
      <c r="A29" s="65"/>
      <c r="B29"/>
      <c r="C29" s="48"/>
      <c r="D29" s="11"/>
      <c r="E29" s="11"/>
      <c r="G29"/>
      <c r="H29"/>
      <c r="I29"/>
    </row>
    <row r="30" spans="1:16" ht="15" customHeight="1" x14ac:dyDescent="0.25">
      <c r="A30" s="102" t="s">
        <v>67</v>
      </c>
      <c r="B30" s="103"/>
      <c r="C30" s="103"/>
      <c r="D30" s="103"/>
      <c r="E30" s="103"/>
      <c r="F30" s="103"/>
      <c r="G30" s="103"/>
      <c r="H30" s="103"/>
      <c r="I30" s="104"/>
    </row>
    <row r="31" spans="1:16" ht="45" x14ac:dyDescent="0.25">
      <c r="A31" s="77" t="s">
        <v>0</v>
      </c>
      <c r="B31" s="78" t="s">
        <v>38</v>
      </c>
      <c r="C31" s="78" t="s">
        <v>7</v>
      </c>
      <c r="D31" s="78"/>
      <c r="E31" s="78" t="s">
        <v>27</v>
      </c>
      <c r="F31" s="79" t="s">
        <v>26</v>
      </c>
      <c r="G31" s="78" t="s">
        <v>40</v>
      </c>
      <c r="H31" s="79" t="s">
        <v>28</v>
      </c>
      <c r="I31" s="80" t="s">
        <v>29</v>
      </c>
      <c r="L31" s="1"/>
      <c r="N31" s="17"/>
      <c r="O31" s="15" t="s">
        <v>6</v>
      </c>
      <c r="P31" s="15" t="s">
        <v>4</v>
      </c>
    </row>
    <row r="32" spans="1:16" x14ac:dyDescent="0.25">
      <c r="A32" s="81">
        <v>1998</v>
      </c>
      <c r="B32" s="21">
        <f>IF($B$2="Trawl",Indices!B2,Indices!C2)</f>
        <v>161256</v>
      </c>
      <c r="C32" s="22">
        <f t="shared" ref="C32:C52" si="0">B32/D$12</f>
        <v>1.2828435506197196</v>
      </c>
      <c r="D32" s="21"/>
      <c r="E32" s="82">
        <f t="shared" ref="E32:E52" si="1">MIN($G$3,MAX($H$3,(1-(1-C32)*1)*$F$3))</f>
        <v>3532</v>
      </c>
      <c r="F32" s="65"/>
      <c r="G32" s="82">
        <f>E32</f>
        <v>3532</v>
      </c>
      <c r="H32" s="65"/>
      <c r="I32" s="83"/>
      <c r="L32" s="2"/>
      <c r="N32" s="18"/>
      <c r="O32" s="15">
        <f t="shared" ref="O32:O51" si="2">$H$3</f>
        <v>1403</v>
      </c>
      <c r="P32" s="15">
        <f t="shared" ref="P32:P51" si="3">$G$3</f>
        <v>3532</v>
      </c>
    </row>
    <row r="33" spans="1:16" x14ac:dyDescent="0.25">
      <c r="A33" s="81">
        <v>1999</v>
      </c>
      <c r="B33" s="21">
        <f>IF($B$2="Trawl",Indices!B3,Indices!C3)</f>
        <v>129116</v>
      </c>
      <c r="C33" s="22">
        <f t="shared" si="0"/>
        <v>1.0271594724029849</v>
      </c>
      <c r="D33" s="21"/>
      <c r="E33" s="82">
        <f t="shared" si="1"/>
        <v>2881.1823200903727</v>
      </c>
      <c r="F33" s="84">
        <f>(E33-E32)/E32</f>
        <v>-0.18426321628245393</v>
      </c>
      <c r="G33" s="82">
        <f t="shared" ref="G33:G52" si="4">IF(H33&gt;0,IF(ABS(H33)&gt;$H$8,G32*(1+SIGN(H33)*$H$8),E33),IF(ABS(H33)&gt;$H$9,G32*(1+SIGN(H33)*$H$9),E33))</f>
        <v>3002.2</v>
      </c>
      <c r="H33" s="84">
        <f t="shared" ref="H33:H52" si="5">(E33-G32)/G32</f>
        <v>-0.18426321628245393</v>
      </c>
      <c r="I33" s="85">
        <f>(G33-G32)/G32</f>
        <v>-0.15000000000000005</v>
      </c>
      <c r="L33" s="2"/>
      <c r="N33" s="18"/>
      <c r="O33" s="15">
        <f t="shared" si="2"/>
        <v>1403</v>
      </c>
      <c r="P33" s="15">
        <f t="shared" si="3"/>
        <v>3532</v>
      </c>
    </row>
    <row r="34" spans="1:16" x14ac:dyDescent="0.25">
      <c r="A34" s="81">
        <v>2000</v>
      </c>
      <c r="B34" s="21">
        <f>IF($B$2="Trawl",Indices!B4,Indices!C4)</f>
        <v>118677</v>
      </c>
      <c r="C34" s="22">
        <f t="shared" si="0"/>
        <v>0.94411385658143865</v>
      </c>
      <c r="D34" s="21"/>
      <c r="E34" s="82">
        <f t="shared" si="1"/>
        <v>2648.2393677109353</v>
      </c>
      <c r="F34" s="84">
        <f t="shared" ref="F34:F52" si="6">(E34-E33)/E33</f>
        <v>-8.0849778493757671E-2</v>
      </c>
      <c r="G34" s="82">
        <f t="shared" si="4"/>
        <v>2648.2393677109353</v>
      </c>
      <c r="H34" s="84">
        <f t="shared" si="5"/>
        <v>-0.1179004171237974</v>
      </c>
      <c r="I34" s="85">
        <f>(G34-G33)/G33</f>
        <v>-0.1179004171237974</v>
      </c>
      <c r="L34" s="2"/>
      <c r="N34" s="18"/>
      <c r="O34" s="15">
        <f t="shared" si="2"/>
        <v>1403</v>
      </c>
      <c r="P34" s="15">
        <f t="shared" si="3"/>
        <v>3532</v>
      </c>
    </row>
    <row r="35" spans="1:16" x14ac:dyDescent="0.25">
      <c r="A35" s="81">
        <v>2001</v>
      </c>
      <c r="B35" s="21">
        <f>IF($B$2="Trawl",Indices!B5,Indices!C5)</f>
        <v>141219</v>
      </c>
      <c r="C35" s="22">
        <f t="shared" si="0"/>
        <v>1.1234427455410416</v>
      </c>
      <c r="D35" s="21"/>
      <c r="E35" s="82">
        <f t="shared" si="1"/>
        <v>3151.2569012426216</v>
      </c>
      <c r="F35" s="84">
        <f t="shared" si="6"/>
        <v>0.18994413407821237</v>
      </c>
      <c r="G35" s="82">
        <f t="shared" si="4"/>
        <v>3045.4752728675753</v>
      </c>
      <c r="H35" s="84">
        <f t="shared" si="5"/>
        <v>0.18994413407821237</v>
      </c>
      <c r="I35" s="85">
        <f t="shared" ref="I35:I52" si="7">(G35-G34)/G34</f>
        <v>0.14999999999999988</v>
      </c>
      <c r="L35" s="2"/>
      <c r="N35" s="18"/>
      <c r="O35" s="15">
        <f t="shared" si="2"/>
        <v>1403</v>
      </c>
      <c r="P35" s="15">
        <f t="shared" si="3"/>
        <v>3532</v>
      </c>
    </row>
    <row r="36" spans="1:16" x14ac:dyDescent="0.25">
      <c r="A36" s="81">
        <v>2002</v>
      </c>
      <c r="B36" s="21">
        <f>IF($B$2="Trawl",Indices!B6,Indices!C6)</f>
        <v>101706</v>
      </c>
      <c r="C36" s="22">
        <f t="shared" si="0"/>
        <v>0.80910407153426356</v>
      </c>
      <c r="D36" s="21"/>
      <c r="E36" s="82">
        <f t="shared" si="1"/>
        <v>2269.5369206536093</v>
      </c>
      <c r="F36" s="84">
        <f t="shared" si="6"/>
        <v>-0.27979946041255077</v>
      </c>
      <c r="G36" s="82">
        <f t="shared" si="4"/>
        <v>2588.6539819374389</v>
      </c>
      <c r="H36" s="84">
        <f t="shared" si="5"/>
        <v>-0.25478399352865333</v>
      </c>
      <c r="I36" s="85">
        <f t="shared" si="7"/>
        <v>-0.15000000000000005</v>
      </c>
      <c r="L36" s="2"/>
      <c r="N36" s="18"/>
      <c r="O36" s="15">
        <f t="shared" si="2"/>
        <v>1403</v>
      </c>
      <c r="P36" s="15">
        <f t="shared" si="3"/>
        <v>3532</v>
      </c>
    </row>
    <row r="37" spans="1:16" x14ac:dyDescent="0.25">
      <c r="A37" s="81">
        <v>2003</v>
      </c>
      <c r="B37" s="21">
        <f>IF($B$2="Trawl",Indices!B7,Indices!C7)</f>
        <v>132151</v>
      </c>
      <c r="C37" s="22">
        <f t="shared" si="0"/>
        <v>1.0513038774243846</v>
      </c>
      <c r="D37" s="21"/>
      <c r="E37" s="82">
        <f t="shared" si="1"/>
        <v>2948.9073761753989</v>
      </c>
      <c r="F37" s="84">
        <f t="shared" si="6"/>
        <v>0.29934320492399663</v>
      </c>
      <c r="G37" s="82">
        <f t="shared" si="4"/>
        <v>2948.9073761753989</v>
      </c>
      <c r="H37" s="84">
        <f t="shared" si="5"/>
        <v>0.13916629906957817</v>
      </c>
      <c r="I37" s="85">
        <f t="shared" si="7"/>
        <v>0.13916629906957817</v>
      </c>
      <c r="L37" s="2"/>
      <c r="N37" s="18"/>
      <c r="O37" s="15">
        <f t="shared" si="2"/>
        <v>1403</v>
      </c>
      <c r="P37" s="15">
        <f t="shared" si="3"/>
        <v>3532</v>
      </c>
    </row>
    <row r="38" spans="1:16" x14ac:dyDescent="0.25">
      <c r="A38" s="81">
        <v>2004</v>
      </c>
      <c r="B38" s="21">
        <f>IF($B$2="Trawl",Indices!B8,Indices!C8)</f>
        <v>130075</v>
      </c>
      <c r="C38" s="22">
        <f t="shared" si="0"/>
        <v>1.0347886270703728</v>
      </c>
      <c r="D38" s="21"/>
      <c r="E38" s="82">
        <f t="shared" si="1"/>
        <v>2902.5820989323956</v>
      </c>
      <c r="F38" s="84">
        <f t="shared" si="6"/>
        <v>-1.5709302237591833E-2</v>
      </c>
      <c r="G38" s="82">
        <f t="shared" si="4"/>
        <v>2902.5820989323956</v>
      </c>
      <c r="H38" s="84">
        <f t="shared" si="5"/>
        <v>-1.5709302237591833E-2</v>
      </c>
      <c r="I38" s="85">
        <f t="shared" si="7"/>
        <v>-1.5709302237591833E-2</v>
      </c>
      <c r="L38" s="2"/>
      <c r="N38" s="18"/>
      <c r="O38" s="15">
        <f t="shared" si="2"/>
        <v>1403</v>
      </c>
      <c r="P38" s="15">
        <f t="shared" si="3"/>
        <v>3532</v>
      </c>
    </row>
    <row r="39" spans="1:16" x14ac:dyDescent="0.25">
      <c r="A39" s="81">
        <v>2005</v>
      </c>
      <c r="B39" s="21">
        <f>IF($B$2="Trawl",Indices!B9,Indices!C9)</f>
        <v>132518</v>
      </c>
      <c r="C39" s="22">
        <f t="shared" si="0"/>
        <v>1.0542234809310911</v>
      </c>
      <c r="D39" s="21"/>
      <c r="E39" s="82">
        <f t="shared" si="1"/>
        <v>2957.0968640117103</v>
      </c>
      <c r="F39" s="84">
        <f t="shared" si="6"/>
        <v>1.8781472227561054E-2</v>
      </c>
      <c r="G39" s="82">
        <f t="shared" si="4"/>
        <v>2957.0968640117103</v>
      </c>
      <c r="H39" s="84">
        <f t="shared" si="5"/>
        <v>1.8781472227561054E-2</v>
      </c>
      <c r="I39" s="85">
        <f t="shared" si="7"/>
        <v>1.8781472227561054E-2</v>
      </c>
      <c r="L39" s="2"/>
      <c r="N39" s="18"/>
      <c r="O39" s="15">
        <f t="shared" si="2"/>
        <v>1403</v>
      </c>
      <c r="P39" s="15">
        <f t="shared" si="3"/>
        <v>3532</v>
      </c>
    </row>
    <row r="40" spans="1:16" x14ac:dyDescent="0.25">
      <c r="A40" s="81">
        <v>2006</v>
      </c>
      <c r="B40" s="21">
        <f>IF($B$2="Trawl",Indices!B10,Indices!C10)</f>
        <v>155964</v>
      </c>
      <c r="C40" s="22">
        <f t="shared" si="0"/>
        <v>1.2407439817982211</v>
      </c>
      <c r="D40" s="21"/>
      <c r="E40" s="82">
        <f t="shared" si="1"/>
        <v>3480.2868689440102</v>
      </c>
      <c r="F40" s="84">
        <f t="shared" si="6"/>
        <v>0.17692690804268088</v>
      </c>
      <c r="G40" s="82">
        <f t="shared" si="4"/>
        <v>3400.6613936134668</v>
      </c>
      <c r="H40" s="84">
        <f t="shared" si="5"/>
        <v>0.17692690804268088</v>
      </c>
      <c r="I40" s="85">
        <f t="shared" si="7"/>
        <v>0.14999999999999997</v>
      </c>
      <c r="L40" s="2"/>
      <c r="N40" s="18"/>
      <c r="O40" s="15">
        <f t="shared" si="2"/>
        <v>1403</v>
      </c>
      <c r="P40" s="15">
        <f t="shared" si="3"/>
        <v>3532</v>
      </c>
    </row>
    <row r="41" spans="1:16" x14ac:dyDescent="0.25">
      <c r="A41" s="81">
        <v>2007</v>
      </c>
      <c r="B41" s="21">
        <f>IF($B$2="Trawl",Indices!B11,Indices!C11)</f>
        <v>143903</v>
      </c>
      <c r="C41" s="22">
        <f t="shared" si="0"/>
        <v>1.1447948322222399</v>
      </c>
      <c r="D41" s="21"/>
      <c r="E41" s="82">
        <f t="shared" si="1"/>
        <v>3211.1495043833829</v>
      </c>
      <c r="F41" s="84">
        <f t="shared" si="6"/>
        <v>-7.7331948398348269E-2</v>
      </c>
      <c r="G41" s="82">
        <f t="shared" si="4"/>
        <v>3211.1495043833829</v>
      </c>
      <c r="H41" s="84">
        <f t="shared" si="5"/>
        <v>-5.5727950329307191E-2</v>
      </c>
      <c r="I41" s="85">
        <f t="shared" si="7"/>
        <v>-5.5727950329307191E-2</v>
      </c>
      <c r="L41" s="2"/>
      <c r="N41" s="18"/>
      <c r="O41" s="15">
        <f t="shared" si="2"/>
        <v>1403</v>
      </c>
      <c r="P41" s="15">
        <f t="shared" si="3"/>
        <v>3532</v>
      </c>
    </row>
    <row r="42" spans="1:16" x14ac:dyDescent="0.25">
      <c r="A42" s="81">
        <v>2008</v>
      </c>
      <c r="B42" s="21">
        <f>IF($B$2="Trawl",Indices!B12,Indices!C12)</f>
        <v>140247</v>
      </c>
      <c r="C42" s="22">
        <f t="shared" si="0"/>
        <v>1.1157101716758684</v>
      </c>
      <c r="D42" s="21"/>
      <c r="E42" s="82">
        <f t="shared" si="1"/>
        <v>3129.567031550811</v>
      </c>
      <c r="F42" s="84">
        <f t="shared" si="6"/>
        <v>-2.5406002654565826E-2</v>
      </c>
      <c r="G42" s="82">
        <f t="shared" si="4"/>
        <v>3129.567031550811</v>
      </c>
      <c r="H42" s="84">
        <f t="shared" si="5"/>
        <v>-2.5406002654565826E-2</v>
      </c>
      <c r="I42" s="85">
        <f t="shared" si="7"/>
        <v>-2.5406002654565826E-2</v>
      </c>
      <c r="L42" s="2"/>
      <c r="N42" s="18"/>
      <c r="O42" s="15">
        <f t="shared" si="2"/>
        <v>1403</v>
      </c>
      <c r="P42" s="15">
        <f t="shared" si="3"/>
        <v>3532</v>
      </c>
    </row>
    <row r="43" spans="1:16" x14ac:dyDescent="0.25">
      <c r="A43" s="81">
        <v>2009</v>
      </c>
      <c r="B43" s="21">
        <f>IF($B$2="Trawl",Indices!B13,Indices!C13)</f>
        <v>168102</v>
      </c>
      <c r="C43" s="22">
        <f t="shared" si="0"/>
        <v>1.3373056912380072</v>
      </c>
      <c r="D43" s="21"/>
      <c r="E43" s="82">
        <f t="shared" si="1"/>
        <v>3532</v>
      </c>
      <c r="F43" s="84">
        <f t="shared" si="6"/>
        <v>0.12859062112811473</v>
      </c>
      <c r="G43" s="82">
        <f t="shared" si="4"/>
        <v>3532</v>
      </c>
      <c r="H43" s="84">
        <f t="shared" si="5"/>
        <v>0.12859062112811473</v>
      </c>
      <c r="I43" s="85">
        <f t="shared" si="7"/>
        <v>0.12859062112811473</v>
      </c>
      <c r="L43" s="2"/>
      <c r="N43" s="18"/>
      <c r="O43" s="15">
        <f t="shared" si="2"/>
        <v>1403</v>
      </c>
      <c r="P43" s="15">
        <f t="shared" si="3"/>
        <v>3532</v>
      </c>
    </row>
    <row r="44" spans="1:16" x14ac:dyDescent="0.25">
      <c r="A44" s="81">
        <v>2010</v>
      </c>
      <c r="B44" s="21">
        <f>IF($B$2="Trawl",Indices!B14,Indices!C14)</f>
        <v>195535</v>
      </c>
      <c r="C44" s="22">
        <f t="shared" si="0"/>
        <v>1.5555440645335794</v>
      </c>
      <c r="D44" s="21"/>
      <c r="E44" s="82">
        <f t="shared" si="1"/>
        <v>3532</v>
      </c>
      <c r="F44" s="84">
        <f t="shared" si="6"/>
        <v>0</v>
      </c>
      <c r="G44" s="82">
        <f t="shared" si="4"/>
        <v>3532</v>
      </c>
      <c r="H44" s="84">
        <f t="shared" si="5"/>
        <v>0</v>
      </c>
      <c r="I44" s="85">
        <f t="shared" si="7"/>
        <v>0</v>
      </c>
      <c r="L44" s="2"/>
      <c r="N44" s="18"/>
      <c r="O44" s="15">
        <f t="shared" si="2"/>
        <v>1403</v>
      </c>
      <c r="P44" s="15">
        <f t="shared" si="3"/>
        <v>3532</v>
      </c>
    </row>
    <row r="45" spans="1:16" x14ac:dyDescent="0.25">
      <c r="A45" s="81">
        <v>2011</v>
      </c>
      <c r="B45" s="21">
        <f>IF($B$2="Trawl",Indices!B15,Indices!C15)</f>
        <v>186666</v>
      </c>
      <c r="C45" s="22">
        <f t="shared" si="0"/>
        <v>1.4849883056753275</v>
      </c>
      <c r="D45" s="21"/>
      <c r="E45" s="82">
        <f t="shared" si="1"/>
        <v>3532</v>
      </c>
      <c r="F45" s="84">
        <f t="shared" si="6"/>
        <v>0</v>
      </c>
      <c r="G45" s="82">
        <f t="shared" si="4"/>
        <v>3532</v>
      </c>
      <c r="H45" s="84">
        <f t="shared" si="5"/>
        <v>0</v>
      </c>
      <c r="I45" s="85">
        <f t="shared" si="7"/>
        <v>0</v>
      </c>
      <c r="L45" s="2"/>
      <c r="N45" s="18"/>
      <c r="O45" s="15">
        <f t="shared" si="2"/>
        <v>1403</v>
      </c>
      <c r="P45" s="15">
        <f t="shared" si="3"/>
        <v>3532</v>
      </c>
    </row>
    <row r="46" spans="1:16" x14ac:dyDescent="0.25">
      <c r="A46" s="81">
        <v>2012</v>
      </c>
      <c r="B46" s="21">
        <f>IF($B$2="Trawl",Indices!B16,Indices!C16)</f>
        <v>189000</v>
      </c>
      <c r="C46" s="22">
        <f t="shared" si="0"/>
        <v>1.5035560293392309</v>
      </c>
      <c r="D46" s="21"/>
      <c r="E46" s="82">
        <f t="shared" si="1"/>
        <v>3532</v>
      </c>
      <c r="F46" s="84">
        <f t="shared" si="6"/>
        <v>0</v>
      </c>
      <c r="G46" s="82">
        <f t="shared" si="4"/>
        <v>3532</v>
      </c>
      <c r="H46" s="84">
        <f t="shared" si="5"/>
        <v>0</v>
      </c>
      <c r="I46" s="85">
        <f t="shared" si="7"/>
        <v>0</v>
      </c>
      <c r="L46" s="2"/>
      <c r="N46" s="18"/>
      <c r="O46" s="15">
        <f t="shared" si="2"/>
        <v>1403</v>
      </c>
      <c r="P46" s="15">
        <f t="shared" si="3"/>
        <v>3532</v>
      </c>
    </row>
    <row r="47" spans="1:16" x14ac:dyDescent="0.25">
      <c r="A47" s="81">
        <v>2013</v>
      </c>
      <c r="B47" s="21">
        <f>IF($B$2="Trawl",Indices!B17,Indices!C17)</f>
        <v>183989</v>
      </c>
      <c r="C47" s="22">
        <f t="shared" si="0"/>
        <v>1.4636919062544749</v>
      </c>
      <c r="D47" s="21"/>
      <c r="E47" s="82">
        <f t="shared" si="1"/>
        <v>3532</v>
      </c>
      <c r="F47" s="84">
        <f t="shared" si="6"/>
        <v>0</v>
      </c>
      <c r="G47" s="82">
        <f t="shared" si="4"/>
        <v>3532</v>
      </c>
      <c r="H47" s="84">
        <f t="shared" si="5"/>
        <v>0</v>
      </c>
      <c r="I47" s="85">
        <f t="shared" si="7"/>
        <v>0</v>
      </c>
      <c r="L47" s="2"/>
      <c r="N47" s="18"/>
      <c r="O47" s="15">
        <f t="shared" si="2"/>
        <v>1403</v>
      </c>
      <c r="P47" s="15">
        <f t="shared" si="3"/>
        <v>3532</v>
      </c>
    </row>
    <row r="48" spans="1:16" x14ac:dyDescent="0.25">
      <c r="A48" s="81">
        <v>2014</v>
      </c>
      <c r="B48" s="21">
        <f>IF($B$2="Trawl",Indices!B18,Indices!C18)</f>
        <v>171427</v>
      </c>
      <c r="C48" s="22">
        <f t="shared" si="0"/>
        <v>1.3637571399023087</v>
      </c>
      <c r="D48" s="21"/>
      <c r="E48" s="82">
        <f t="shared" si="1"/>
        <v>3532</v>
      </c>
      <c r="F48" s="84">
        <f t="shared" si="6"/>
        <v>0</v>
      </c>
      <c r="G48" s="82">
        <f t="shared" si="4"/>
        <v>3532</v>
      </c>
      <c r="H48" s="84">
        <f t="shared" si="5"/>
        <v>0</v>
      </c>
      <c r="I48" s="85">
        <f t="shared" si="7"/>
        <v>0</v>
      </c>
      <c r="L48" s="2"/>
      <c r="N48" s="18"/>
      <c r="O48" s="15">
        <f t="shared" si="2"/>
        <v>1403</v>
      </c>
      <c r="P48" s="15">
        <f t="shared" si="3"/>
        <v>3532</v>
      </c>
    </row>
    <row r="49" spans="1:16" x14ac:dyDescent="0.25">
      <c r="A49" s="81">
        <v>2015</v>
      </c>
      <c r="B49" s="21">
        <f>IF($B$2="Trawl",Indices!B19,Indices!C19)</f>
        <v>172237</v>
      </c>
      <c r="C49" s="22">
        <f t="shared" si="0"/>
        <v>1.3702009514566196</v>
      </c>
      <c r="D49" s="21"/>
      <c r="E49" s="82">
        <f t="shared" si="1"/>
        <v>3532</v>
      </c>
      <c r="F49" s="84">
        <f t="shared" si="6"/>
        <v>0</v>
      </c>
      <c r="G49" s="82">
        <f t="shared" si="4"/>
        <v>3532</v>
      </c>
      <c r="H49" s="84">
        <f t="shared" si="5"/>
        <v>0</v>
      </c>
      <c r="I49" s="85">
        <f t="shared" si="7"/>
        <v>0</v>
      </c>
      <c r="L49" s="2"/>
      <c r="N49" s="18"/>
      <c r="O49" s="15">
        <f t="shared" si="2"/>
        <v>1403</v>
      </c>
      <c r="P49" s="15">
        <f t="shared" si="3"/>
        <v>3532</v>
      </c>
    </row>
    <row r="50" spans="1:16" x14ac:dyDescent="0.25">
      <c r="A50" s="81">
        <v>2016</v>
      </c>
      <c r="B50" s="21">
        <f>IF($B$2="Trawl",Indices!B20,Indices!C20)</f>
        <v>153704</v>
      </c>
      <c r="C50" s="22">
        <f t="shared" si="0"/>
        <v>1.2227649520294028</v>
      </c>
      <c r="D50" s="21"/>
      <c r="E50" s="82">
        <f t="shared" si="1"/>
        <v>3429.855690442475</v>
      </c>
      <c r="F50" s="84">
        <f t="shared" si="6"/>
        <v>-2.8919679942674137E-2</v>
      </c>
      <c r="G50" s="82">
        <f t="shared" si="4"/>
        <v>3429.855690442475</v>
      </c>
      <c r="H50" s="84">
        <f t="shared" si="5"/>
        <v>-2.8919679942674137E-2</v>
      </c>
      <c r="I50" s="85">
        <f t="shared" si="7"/>
        <v>-2.8919679942674137E-2</v>
      </c>
      <c r="L50" s="2"/>
      <c r="N50" s="18"/>
      <c r="O50" s="15">
        <f t="shared" si="2"/>
        <v>1403</v>
      </c>
      <c r="P50" s="15">
        <f t="shared" si="3"/>
        <v>3532</v>
      </c>
    </row>
    <row r="51" spans="1:16" x14ac:dyDescent="0.25">
      <c r="A51" s="81">
        <v>2017</v>
      </c>
      <c r="B51" s="21">
        <f>IF($B$2="Trawl",Indices!B21,Indices!C21)</f>
        <v>126684</v>
      </c>
      <c r="C51" s="22">
        <f t="shared" si="0"/>
        <v>1.0078121270942388</v>
      </c>
      <c r="D51" s="21"/>
      <c r="E51" s="82">
        <f t="shared" si="1"/>
        <v>2826.9130164993398</v>
      </c>
      <c r="F51" s="84">
        <f t="shared" si="6"/>
        <v>-0.17579243220735954</v>
      </c>
      <c r="G51" s="82">
        <f t="shared" si="4"/>
        <v>2915.3773368761035</v>
      </c>
      <c r="H51" s="84">
        <f t="shared" si="5"/>
        <v>-0.17579243220735954</v>
      </c>
      <c r="I51" s="85">
        <f t="shared" si="7"/>
        <v>-0.15000000000000005</v>
      </c>
      <c r="L51" s="2"/>
      <c r="N51" s="18"/>
      <c r="O51" s="15">
        <f t="shared" si="2"/>
        <v>1403</v>
      </c>
      <c r="P51" s="15">
        <f t="shared" si="3"/>
        <v>3532</v>
      </c>
    </row>
    <row r="52" spans="1:16" x14ac:dyDescent="0.25">
      <c r="A52" s="81">
        <v>2018</v>
      </c>
      <c r="B52" s="21">
        <f>IF($B$2="Trawl",Indices!B22,Indices!C22)</f>
        <v>125702</v>
      </c>
      <c r="C52" s="22">
        <f t="shared" si="0"/>
        <v>1</v>
      </c>
      <c r="D52" s="21"/>
      <c r="E52" s="82">
        <f t="shared" si="1"/>
        <v>2805</v>
      </c>
      <c r="F52" s="84">
        <f t="shared" si="6"/>
        <v>-7.7515708376748932E-3</v>
      </c>
      <c r="G52" s="82">
        <f t="shared" si="4"/>
        <v>2805</v>
      </c>
      <c r="H52" s="84">
        <f t="shared" si="5"/>
        <v>-3.7860394769472783E-2</v>
      </c>
      <c r="I52" s="85">
        <f t="shared" si="7"/>
        <v>-3.7860394769472783E-2</v>
      </c>
    </row>
    <row r="53" spans="1:16" x14ac:dyDescent="0.25">
      <c r="A53" s="81"/>
      <c r="B53" s="21"/>
      <c r="C53" s="21"/>
      <c r="D53" s="21"/>
      <c r="E53" s="21"/>
      <c r="F53" s="21"/>
      <c r="G53" s="21"/>
      <c r="H53" s="65"/>
      <c r="I53" s="83"/>
      <c r="L53" s="2"/>
      <c r="N53" s="18"/>
    </row>
    <row r="54" spans="1:16" ht="15.75" thickBot="1" x14ac:dyDescent="0.3">
      <c r="A54" s="86" t="s">
        <v>13</v>
      </c>
      <c r="B54" s="87">
        <v>100000</v>
      </c>
      <c r="C54" s="87">
        <f>B54/$D$12</f>
        <v>0.79553229065567777</v>
      </c>
      <c r="D54" s="87"/>
      <c r="E54" s="88">
        <f>MIN($G$3,MAX($H$3,(1-(1-C54)*1)*$F$3))</f>
        <v>2231.4680752891763</v>
      </c>
      <c r="F54" s="89">
        <f>(E54-E51)/E51</f>
        <v>-0.21063433424899741</v>
      </c>
      <c r="G54" s="88">
        <f>IF(ABS(H54)&gt;$H$8,G51*(1+SIGN(H54)*$H$8),E54)</f>
        <v>2478.0707363446882</v>
      </c>
      <c r="H54" s="89">
        <f>(E54-G51)/G51</f>
        <v>-0.23458687592040908</v>
      </c>
      <c r="I54" s="90">
        <f>(G54-G51)/G51</f>
        <v>-0.14999999999999994</v>
      </c>
      <c r="L54" s="2"/>
      <c r="N54" s="18"/>
    </row>
    <row r="55" spans="1:16" ht="15.75" thickBot="1" x14ac:dyDescent="0.3">
      <c r="F55"/>
      <c r="J55" s="2"/>
      <c r="K55" s="2"/>
      <c r="L55" s="2"/>
      <c r="N55" s="18"/>
    </row>
    <row r="56" spans="1:16" ht="15" customHeight="1" x14ac:dyDescent="0.25">
      <c r="A56" s="102" t="s">
        <v>68</v>
      </c>
      <c r="B56" s="103"/>
      <c r="C56" s="103"/>
      <c r="D56" s="103"/>
      <c r="E56" s="103"/>
      <c r="F56" s="103"/>
      <c r="G56" s="103"/>
      <c r="H56" s="103"/>
      <c r="I56" s="104"/>
      <c r="L56" s="2"/>
    </row>
    <row r="57" spans="1:16" ht="45" x14ac:dyDescent="0.25">
      <c r="A57" s="77" t="s">
        <v>0</v>
      </c>
      <c r="B57" s="78" t="s">
        <v>38</v>
      </c>
      <c r="C57" s="78" t="s">
        <v>7</v>
      </c>
      <c r="D57" s="78"/>
      <c r="E57" s="78" t="s">
        <v>27</v>
      </c>
      <c r="F57" s="79" t="s">
        <v>26</v>
      </c>
      <c r="G57" s="78" t="s">
        <v>40</v>
      </c>
      <c r="H57" s="79" t="s">
        <v>28</v>
      </c>
      <c r="I57" s="80" t="s">
        <v>29</v>
      </c>
      <c r="N57" s="17"/>
      <c r="O57" s="15" t="s">
        <v>6</v>
      </c>
      <c r="P57" s="15" t="s">
        <v>4</v>
      </c>
    </row>
    <row r="58" spans="1:16" x14ac:dyDescent="0.25">
      <c r="A58" s="81">
        <v>1998</v>
      </c>
      <c r="B58" s="21">
        <f>IF($B$3="Trawl",Indices!B2,Indices!C2)</f>
        <v>18502</v>
      </c>
      <c r="C58" s="22">
        <f>B58/D$13</f>
        <v>2.5909536479484667</v>
      </c>
      <c r="D58" s="21"/>
      <c r="E58" s="82">
        <f t="shared" ref="E58:E78" si="8">MIN($G$4,MAX($H$4,(1-(1-C58)*1)*$F$4))</f>
        <v>894</v>
      </c>
      <c r="F58" s="65"/>
      <c r="G58" s="82">
        <f>E58</f>
        <v>894</v>
      </c>
      <c r="H58" s="65"/>
      <c r="I58" s="83"/>
      <c r="N58" s="18"/>
      <c r="O58" s="12">
        <f>$H$4</f>
        <v>355</v>
      </c>
      <c r="P58" s="12">
        <f>$G$4</f>
        <v>894</v>
      </c>
    </row>
    <row r="59" spans="1:16" x14ac:dyDescent="0.25">
      <c r="A59" s="81">
        <v>1999</v>
      </c>
      <c r="B59" s="21">
        <f>IF($B$3="Trawl",Indices!B3,Indices!C3)</f>
        <v>16201</v>
      </c>
      <c r="C59" s="22">
        <f t="shared" ref="C59:C80" si="9">B59/D$13</f>
        <v>2.2687298697661391</v>
      </c>
      <c r="D59" s="21"/>
      <c r="E59" s="82">
        <f t="shared" si="8"/>
        <v>894</v>
      </c>
      <c r="F59" s="84">
        <f>(E59-E58)/E58</f>
        <v>0</v>
      </c>
      <c r="G59" s="82">
        <f t="shared" ref="G59:G78" si="10">IF(H59&gt;0,IF(ABS(H59)&gt;$H$8,G58*(1+SIGN(H59)*$H$8),E59),IF(ABS(H59)&gt;$H$9,G58*(1+SIGN(H59)*$H$9),E59))</f>
        <v>894</v>
      </c>
      <c r="H59" s="84">
        <f t="shared" ref="H59:H78" si="11">(E59-G58)/G58</f>
        <v>0</v>
      </c>
      <c r="I59" s="85">
        <f>(G59-G58)/G58</f>
        <v>0</v>
      </c>
      <c r="N59" s="18"/>
      <c r="O59" s="12">
        <f t="shared" ref="O59:O78" si="12">$H$4</f>
        <v>355</v>
      </c>
      <c r="P59" s="12">
        <f t="shared" ref="P59:P78" si="13">$G$4</f>
        <v>894</v>
      </c>
    </row>
    <row r="60" spans="1:16" x14ac:dyDescent="0.25">
      <c r="A60" s="81">
        <v>2000</v>
      </c>
      <c r="B60" s="21">
        <f>IF($B$3="Trawl",Indices!B4,Indices!C4)</f>
        <v>16203</v>
      </c>
      <c r="C60" s="22">
        <f t="shared" si="9"/>
        <v>2.2690099425850723</v>
      </c>
      <c r="D60" s="21"/>
      <c r="E60" s="82">
        <f t="shared" si="8"/>
        <v>894</v>
      </c>
      <c r="F60" s="84">
        <f t="shared" ref="F60:F78" si="14">(E60-E59)/E59</f>
        <v>0</v>
      </c>
      <c r="G60" s="82">
        <f t="shared" si="10"/>
        <v>894</v>
      </c>
      <c r="H60" s="84">
        <f t="shared" si="11"/>
        <v>0</v>
      </c>
      <c r="I60" s="85">
        <f>(G60-G59)/G59</f>
        <v>0</v>
      </c>
      <c r="N60" s="18"/>
      <c r="O60" s="12">
        <f t="shared" si="12"/>
        <v>355</v>
      </c>
      <c r="P60" s="12">
        <f t="shared" si="13"/>
        <v>894</v>
      </c>
    </row>
    <row r="61" spans="1:16" x14ac:dyDescent="0.25">
      <c r="A61" s="81">
        <v>2001</v>
      </c>
      <c r="B61" s="21">
        <f>IF($B$3="Trawl",Indices!B5,Indices!C5)</f>
        <v>13780</v>
      </c>
      <c r="C61" s="22">
        <f t="shared" si="9"/>
        <v>1.9297017224478363</v>
      </c>
      <c r="D61" s="21"/>
      <c r="E61" s="82">
        <f t="shared" si="8"/>
        <v>894</v>
      </c>
      <c r="F61" s="84">
        <f t="shared" si="14"/>
        <v>0</v>
      </c>
      <c r="G61" s="82">
        <f t="shared" si="10"/>
        <v>894</v>
      </c>
      <c r="H61" s="84">
        <f t="shared" si="11"/>
        <v>0</v>
      </c>
      <c r="I61" s="85">
        <f t="shared" ref="I61:I78" si="15">(G61-G60)/G60</f>
        <v>0</v>
      </c>
      <c r="N61" s="18"/>
      <c r="O61" s="12">
        <f t="shared" si="12"/>
        <v>355</v>
      </c>
      <c r="P61" s="12">
        <f t="shared" si="13"/>
        <v>894</v>
      </c>
    </row>
    <row r="62" spans="1:16" x14ac:dyDescent="0.25">
      <c r="A62" s="81">
        <v>2002</v>
      </c>
      <c r="B62" s="21">
        <f>IF($B$3="Trawl",Indices!B6,Indices!C6)</f>
        <v>12104</v>
      </c>
      <c r="C62" s="22">
        <f t="shared" si="9"/>
        <v>1.6950007001820473</v>
      </c>
      <c r="D62" s="21"/>
      <c r="E62" s="82">
        <f t="shared" si="8"/>
        <v>894</v>
      </c>
      <c r="F62" s="84">
        <f t="shared" si="14"/>
        <v>0</v>
      </c>
      <c r="G62" s="82">
        <f t="shared" si="10"/>
        <v>894</v>
      </c>
      <c r="H62" s="84">
        <f t="shared" si="11"/>
        <v>0</v>
      </c>
      <c r="I62" s="85">
        <f t="shared" si="15"/>
        <v>0</v>
      </c>
      <c r="N62" s="18"/>
      <c r="O62" s="12">
        <f t="shared" si="12"/>
        <v>355</v>
      </c>
      <c r="P62" s="12">
        <f t="shared" si="13"/>
        <v>894</v>
      </c>
    </row>
    <row r="63" spans="1:16" x14ac:dyDescent="0.25">
      <c r="A63" s="81">
        <v>2003</v>
      </c>
      <c r="B63" s="21">
        <f>IF($B$3="Trawl",Indices!B7,Indices!C7)</f>
        <v>10866</v>
      </c>
      <c r="C63" s="22">
        <f t="shared" si="9"/>
        <v>1.5216356252625682</v>
      </c>
      <c r="D63" s="21"/>
      <c r="E63" s="82">
        <f t="shared" si="8"/>
        <v>894</v>
      </c>
      <c r="F63" s="84">
        <f t="shared" si="14"/>
        <v>0</v>
      </c>
      <c r="G63" s="82">
        <f t="shared" si="10"/>
        <v>894</v>
      </c>
      <c r="H63" s="84">
        <f t="shared" si="11"/>
        <v>0</v>
      </c>
      <c r="I63" s="85">
        <f t="shared" si="15"/>
        <v>0</v>
      </c>
      <c r="N63" s="18"/>
      <c r="O63" s="12">
        <f t="shared" si="12"/>
        <v>355</v>
      </c>
      <c r="P63" s="12">
        <f t="shared" si="13"/>
        <v>894</v>
      </c>
    </row>
    <row r="64" spans="1:16" x14ac:dyDescent="0.25">
      <c r="A64" s="81">
        <v>2004</v>
      </c>
      <c r="B64" s="21">
        <f>IF($B$3="Trawl",Indices!B8,Indices!C8)</f>
        <v>9987</v>
      </c>
      <c r="C64" s="22">
        <f t="shared" si="9"/>
        <v>1.3985436213415487</v>
      </c>
      <c r="D64" s="21"/>
      <c r="E64" s="82">
        <f t="shared" si="8"/>
        <v>894</v>
      </c>
      <c r="F64" s="84">
        <f t="shared" si="14"/>
        <v>0</v>
      </c>
      <c r="G64" s="82">
        <f t="shared" si="10"/>
        <v>894</v>
      </c>
      <c r="H64" s="84">
        <f t="shared" si="11"/>
        <v>0</v>
      </c>
      <c r="I64" s="85">
        <f t="shared" si="15"/>
        <v>0</v>
      </c>
      <c r="N64" s="18"/>
      <c r="O64" s="12">
        <f t="shared" si="12"/>
        <v>355</v>
      </c>
      <c r="P64" s="12">
        <f t="shared" si="13"/>
        <v>894</v>
      </c>
    </row>
    <row r="65" spans="1:16" x14ac:dyDescent="0.25">
      <c r="A65" s="81">
        <v>2005</v>
      </c>
      <c r="B65" s="21">
        <f>IF($B$3="Trawl",Indices!B9,Indices!C9)</f>
        <v>9550</v>
      </c>
      <c r="C65" s="22">
        <f t="shared" si="9"/>
        <v>1.3373477104047051</v>
      </c>
      <c r="D65" s="21"/>
      <c r="E65" s="82">
        <f t="shared" si="8"/>
        <v>894</v>
      </c>
      <c r="F65" s="84">
        <f t="shared" si="14"/>
        <v>0</v>
      </c>
      <c r="G65" s="82">
        <f t="shared" si="10"/>
        <v>894</v>
      </c>
      <c r="H65" s="84">
        <f t="shared" si="11"/>
        <v>0</v>
      </c>
      <c r="I65" s="85">
        <f t="shared" si="15"/>
        <v>0</v>
      </c>
      <c r="N65" s="18"/>
      <c r="O65" s="12">
        <f t="shared" si="12"/>
        <v>355</v>
      </c>
      <c r="P65" s="12">
        <f t="shared" si="13"/>
        <v>894</v>
      </c>
    </row>
    <row r="66" spans="1:16" x14ac:dyDescent="0.25">
      <c r="A66" s="81">
        <v>2006</v>
      </c>
      <c r="B66" s="21">
        <f>IF($B$3="Trawl",Indices!B10,Indices!C10)</f>
        <v>9802</v>
      </c>
      <c r="C66" s="22">
        <f t="shared" si="9"/>
        <v>1.3726368855902535</v>
      </c>
      <c r="D66" s="21"/>
      <c r="E66" s="82">
        <f t="shared" si="8"/>
        <v>894</v>
      </c>
      <c r="F66" s="84">
        <f t="shared" si="14"/>
        <v>0</v>
      </c>
      <c r="G66" s="82">
        <f t="shared" si="10"/>
        <v>894</v>
      </c>
      <c r="H66" s="84">
        <f t="shared" si="11"/>
        <v>0</v>
      </c>
      <c r="I66" s="85">
        <f t="shared" si="15"/>
        <v>0</v>
      </c>
      <c r="N66" s="18"/>
      <c r="O66" s="12">
        <f t="shared" si="12"/>
        <v>355</v>
      </c>
      <c r="P66" s="12">
        <f t="shared" si="13"/>
        <v>894</v>
      </c>
    </row>
    <row r="67" spans="1:16" x14ac:dyDescent="0.25">
      <c r="A67" s="81">
        <v>2007</v>
      </c>
      <c r="B67" s="21">
        <f>IF($B$3="Trawl",Indices!B11,Indices!C11)</f>
        <v>9673</v>
      </c>
      <c r="C67" s="22">
        <f t="shared" si="9"/>
        <v>1.35457218876908</v>
      </c>
      <c r="D67" s="21"/>
      <c r="E67" s="82">
        <f t="shared" si="8"/>
        <v>894</v>
      </c>
      <c r="F67" s="84">
        <f t="shared" si="14"/>
        <v>0</v>
      </c>
      <c r="G67" s="82">
        <f t="shared" si="10"/>
        <v>894</v>
      </c>
      <c r="H67" s="84">
        <f t="shared" si="11"/>
        <v>0</v>
      </c>
      <c r="I67" s="85">
        <f t="shared" si="15"/>
        <v>0</v>
      </c>
      <c r="N67" s="18"/>
      <c r="O67" s="12">
        <f t="shared" si="12"/>
        <v>355</v>
      </c>
      <c r="P67" s="12">
        <f t="shared" si="13"/>
        <v>894</v>
      </c>
    </row>
    <row r="68" spans="1:16" x14ac:dyDescent="0.25">
      <c r="A68" s="81">
        <v>2008</v>
      </c>
      <c r="B68" s="21">
        <f>IF($B$3="Trawl",Indices!B12,Indices!C12)</f>
        <v>10264</v>
      </c>
      <c r="C68" s="22">
        <f t="shared" si="9"/>
        <v>1.4373337067637586</v>
      </c>
      <c r="D68" s="21"/>
      <c r="E68" s="82">
        <f t="shared" si="8"/>
        <v>894</v>
      </c>
      <c r="F68" s="84">
        <f t="shared" si="14"/>
        <v>0</v>
      </c>
      <c r="G68" s="82">
        <f t="shared" si="10"/>
        <v>894</v>
      </c>
      <c r="H68" s="84">
        <f t="shared" si="11"/>
        <v>0</v>
      </c>
      <c r="I68" s="85">
        <f t="shared" si="15"/>
        <v>0</v>
      </c>
      <c r="N68" s="18"/>
      <c r="O68" s="12">
        <f t="shared" si="12"/>
        <v>355</v>
      </c>
      <c r="P68" s="12">
        <f t="shared" si="13"/>
        <v>894</v>
      </c>
    </row>
    <row r="69" spans="1:16" x14ac:dyDescent="0.25">
      <c r="A69" s="81">
        <v>2009</v>
      </c>
      <c r="B69" s="21">
        <f>IF($B$3="Trawl",Indices!B13,Indices!C13)</f>
        <v>9834</v>
      </c>
      <c r="C69" s="22">
        <f t="shared" si="9"/>
        <v>1.3771180506931802</v>
      </c>
      <c r="D69" s="21"/>
      <c r="E69" s="82">
        <f t="shared" si="8"/>
        <v>894</v>
      </c>
      <c r="F69" s="84">
        <f t="shared" si="14"/>
        <v>0</v>
      </c>
      <c r="G69" s="82">
        <f t="shared" si="10"/>
        <v>894</v>
      </c>
      <c r="H69" s="84">
        <f t="shared" si="11"/>
        <v>0</v>
      </c>
      <c r="I69" s="85">
        <f t="shared" si="15"/>
        <v>0</v>
      </c>
      <c r="N69" s="18"/>
      <c r="O69" s="12">
        <f t="shared" si="12"/>
        <v>355</v>
      </c>
      <c r="P69" s="12">
        <f t="shared" si="13"/>
        <v>894</v>
      </c>
    </row>
    <row r="70" spans="1:16" x14ac:dyDescent="0.25">
      <c r="A70" s="81">
        <v>2010</v>
      </c>
      <c r="B70" s="21">
        <f>IF($B$3="Trawl",Indices!B14,Indices!C14)</f>
        <v>9146</v>
      </c>
      <c r="C70" s="22">
        <f t="shared" si="9"/>
        <v>1.2807730009802549</v>
      </c>
      <c r="D70" s="21"/>
      <c r="E70" s="82">
        <f t="shared" si="8"/>
        <v>894</v>
      </c>
      <c r="F70" s="84">
        <f t="shared" si="14"/>
        <v>0</v>
      </c>
      <c r="G70" s="82">
        <f t="shared" si="10"/>
        <v>894</v>
      </c>
      <c r="H70" s="84">
        <f t="shared" si="11"/>
        <v>0</v>
      </c>
      <c r="I70" s="85">
        <f t="shared" si="15"/>
        <v>0</v>
      </c>
      <c r="N70" s="18"/>
      <c r="O70" s="12">
        <f t="shared" si="12"/>
        <v>355</v>
      </c>
      <c r="P70" s="12">
        <f t="shared" si="13"/>
        <v>894</v>
      </c>
    </row>
    <row r="71" spans="1:16" x14ac:dyDescent="0.25">
      <c r="A71" s="81">
        <v>2011</v>
      </c>
      <c r="B71" s="21">
        <f>IF($B$3="Trawl",Indices!B15,Indices!C15)</f>
        <v>8669</v>
      </c>
      <c r="C71" s="22">
        <f t="shared" si="9"/>
        <v>1.2139756336647529</v>
      </c>
      <c r="D71" s="21"/>
      <c r="E71" s="82">
        <f t="shared" si="8"/>
        <v>861.92269990197462</v>
      </c>
      <c r="F71" s="84">
        <f t="shared" si="14"/>
        <v>-3.5880648879223015E-2</v>
      </c>
      <c r="G71" s="82">
        <f t="shared" si="10"/>
        <v>861.92269990197462</v>
      </c>
      <c r="H71" s="84">
        <f t="shared" si="11"/>
        <v>-3.5880648879223015E-2</v>
      </c>
      <c r="I71" s="85">
        <f t="shared" si="15"/>
        <v>-3.5880648879223015E-2</v>
      </c>
      <c r="N71" s="18"/>
      <c r="O71" s="12">
        <f t="shared" si="12"/>
        <v>355</v>
      </c>
      <c r="P71" s="12">
        <f t="shared" si="13"/>
        <v>894</v>
      </c>
    </row>
    <row r="72" spans="1:16" x14ac:dyDescent="0.25">
      <c r="A72" s="81">
        <v>2012</v>
      </c>
      <c r="B72" s="21">
        <f>IF($B$3="Trawl",Indices!B16,Indices!C16)</f>
        <v>8403</v>
      </c>
      <c r="C72" s="22">
        <f t="shared" si="9"/>
        <v>1.1767259487466741</v>
      </c>
      <c r="D72" s="21"/>
      <c r="E72" s="82">
        <f t="shared" si="8"/>
        <v>835.47542361013859</v>
      </c>
      <c r="F72" s="84">
        <f t="shared" si="14"/>
        <v>-3.0684046602837873E-2</v>
      </c>
      <c r="G72" s="82">
        <f t="shared" si="10"/>
        <v>835.47542361013859</v>
      </c>
      <c r="H72" s="84">
        <f t="shared" si="11"/>
        <v>-3.0684046602837873E-2</v>
      </c>
      <c r="I72" s="85">
        <f t="shared" si="15"/>
        <v>-3.0684046602837873E-2</v>
      </c>
      <c r="N72" s="18"/>
      <c r="O72" s="12">
        <f t="shared" si="12"/>
        <v>355</v>
      </c>
      <c r="P72" s="12">
        <f t="shared" si="13"/>
        <v>894</v>
      </c>
    </row>
    <row r="73" spans="1:16" x14ac:dyDescent="0.25">
      <c r="A73" s="81">
        <v>2013</v>
      </c>
      <c r="B73" s="21">
        <f>IF($B$3="Trawl",Indices!B17,Indices!C17)</f>
        <v>7989</v>
      </c>
      <c r="C73" s="22">
        <f t="shared" si="9"/>
        <v>1.1187508752275592</v>
      </c>
      <c r="D73" s="21"/>
      <c r="E73" s="82">
        <f t="shared" si="8"/>
        <v>794.31312141156707</v>
      </c>
      <c r="F73" s="84">
        <f t="shared" si="14"/>
        <v>-4.9268118529096627E-2</v>
      </c>
      <c r="G73" s="82">
        <f t="shared" si="10"/>
        <v>794.31312141156707</v>
      </c>
      <c r="H73" s="84">
        <f t="shared" si="11"/>
        <v>-4.9268118529096627E-2</v>
      </c>
      <c r="I73" s="85">
        <f t="shared" si="15"/>
        <v>-4.9268118529096627E-2</v>
      </c>
      <c r="N73" s="18"/>
      <c r="O73" s="12">
        <f t="shared" si="12"/>
        <v>355</v>
      </c>
      <c r="P73" s="12">
        <f t="shared" si="13"/>
        <v>894</v>
      </c>
    </row>
    <row r="74" spans="1:16" x14ac:dyDescent="0.25">
      <c r="A74" s="81">
        <v>2014</v>
      </c>
      <c r="B74" s="21">
        <f>IF($B$3="Trawl",Indices!B18,Indices!C18)</f>
        <v>7995</v>
      </c>
      <c r="C74" s="22">
        <f t="shared" si="9"/>
        <v>1.1195910936843578</v>
      </c>
      <c r="D74" s="21"/>
      <c r="E74" s="82">
        <f t="shared" si="8"/>
        <v>794.90967651589403</v>
      </c>
      <c r="F74" s="84">
        <f t="shared" si="14"/>
        <v>7.5103266992094251E-4</v>
      </c>
      <c r="G74" s="82">
        <f t="shared" si="10"/>
        <v>794.90967651589403</v>
      </c>
      <c r="H74" s="84">
        <f t="shared" si="11"/>
        <v>7.5103266992094251E-4</v>
      </c>
      <c r="I74" s="85">
        <f t="shared" si="15"/>
        <v>7.5103266992094251E-4</v>
      </c>
      <c r="N74" s="18"/>
      <c r="O74" s="12">
        <f t="shared" si="12"/>
        <v>355</v>
      </c>
      <c r="P74" s="12">
        <f t="shared" si="13"/>
        <v>894</v>
      </c>
    </row>
    <row r="75" spans="1:16" x14ac:dyDescent="0.25">
      <c r="A75" s="81">
        <v>2015</v>
      </c>
      <c r="B75" s="21">
        <f>IF($B$3="Trawl",Indices!B19,Indices!C19)</f>
        <v>8130</v>
      </c>
      <c r="C75" s="22">
        <f t="shared" si="9"/>
        <v>1.1384960089623302</v>
      </c>
      <c r="D75" s="21"/>
      <c r="E75" s="82">
        <f t="shared" si="8"/>
        <v>808.33216636325437</v>
      </c>
      <c r="F75" s="84">
        <f t="shared" si="14"/>
        <v>1.6885553470919357E-2</v>
      </c>
      <c r="G75" s="82">
        <f t="shared" si="10"/>
        <v>808.33216636325437</v>
      </c>
      <c r="H75" s="84">
        <f t="shared" si="11"/>
        <v>1.6885553470919357E-2</v>
      </c>
      <c r="I75" s="85">
        <f t="shared" si="15"/>
        <v>1.6885553470919357E-2</v>
      </c>
      <c r="N75" s="18"/>
      <c r="O75" s="12">
        <f t="shared" si="12"/>
        <v>355</v>
      </c>
      <c r="P75" s="12">
        <f t="shared" si="13"/>
        <v>894</v>
      </c>
    </row>
    <row r="76" spans="1:16" x14ac:dyDescent="0.25">
      <c r="A76" s="81">
        <v>2016</v>
      </c>
      <c r="B76" s="21">
        <f>IF($B$3="Trawl",Indices!B20,Indices!C20)</f>
        <v>7826</v>
      </c>
      <c r="C76" s="22">
        <f t="shared" si="9"/>
        <v>1.0959249404845259</v>
      </c>
      <c r="D76" s="21"/>
      <c r="E76" s="82">
        <f t="shared" si="8"/>
        <v>778.10670774401342</v>
      </c>
      <c r="F76" s="84">
        <f t="shared" si="14"/>
        <v>-3.7392373923739182E-2</v>
      </c>
      <c r="G76" s="82">
        <f t="shared" si="10"/>
        <v>778.10670774401342</v>
      </c>
      <c r="H76" s="84">
        <f t="shared" si="11"/>
        <v>-3.7392373923739182E-2</v>
      </c>
      <c r="I76" s="85">
        <f t="shared" si="15"/>
        <v>-3.7392373923739182E-2</v>
      </c>
      <c r="N76" s="18"/>
      <c r="O76" s="12">
        <f t="shared" si="12"/>
        <v>355</v>
      </c>
      <c r="P76" s="12">
        <f t="shared" si="13"/>
        <v>894</v>
      </c>
    </row>
    <row r="77" spans="1:16" x14ac:dyDescent="0.25">
      <c r="A77" s="81">
        <v>2017</v>
      </c>
      <c r="B77" s="21">
        <f>IF($B$3="Trawl",Indices!B21,Indices!C21)</f>
        <v>7250</v>
      </c>
      <c r="C77" s="22">
        <f t="shared" si="9"/>
        <v>1.0152639686318443</v>
      </c>
      <c r="D77" s="21"/>
      <c r="E77" s="82">
        <f t="shared" si="8"/>
        <v>720.83741772860947</v>
      </c>
      <c r="F77" s="84">
        <f t="shared" si="14"/>
        <v>-7.3600817786864239E-2</v>
      </c>
      <c r="G77" s="82">
        <f t="shared" si="10"/>
        <v>720.83741772860947</v>
      </c>
      <c r="H77" s="84">
        <f t="shared" si="11"/>
        <v>-7.3600817786864239E-2</v>
      </c>
      <c r="I77" s="85">
        <f t="shared" si="15"/>
        <v>-7.3600817786864239E-2</v>
      </c>
      <c r="N77" s="18"/>
      <c r="O77" s="12">
        <f t="shared" si="12"/>
        <v>355</v>
      </c>
      <c r="P77" s="12">
        <f t="shared" si="13"/>
        <v>894</v>
      </c>
    </row>
    <row r="78" spans="1:16" x14ac:dyDescent="0.25">
      <c r="A78" s="81">
        <v>2018</v>
      </c>
      <c r="B78" s="21">
        <f>IF($B$3="Trawl",Indices!B22,Indices!C22)</f>
        <v>7141</v>
      </c>
      <c r="C78" s="22">
        <f t="shared" si="9"/>
        <v>1</v>
      </c>
      <c r="D78" s="21"/>
      <c r="E78" s="82">
        <f t="shared" si="8"/>
        <v>710</v>
      </c>
      <c r="F78" s="84">
        <f t="shared" si="14"/>
        <v>-1.5034482758620727E-2</v>
      </c>
      <c r="G78" s="82">
        <f t="shared" si="10"/>
        <v>710</v>
      </c>
      <c r="H78" s="84">
        <f t="shared" si="11"/>
        <v>-1.5034482758620727E-2</v>
      </c>
      <c r="I78" s="85">
        <f t="shared" si="15"/>
        <v>-1.5034482758620727E-2</v>
      </c>
      <c r="O78" s="12">
        <f t="shared" si="12"/>
        <v>355</v>
      </c>
      <c r="P78" s="12">
        <f t="shared" si="13"/>
        <v>894</v>
      </c>
    </row>
    <row r="79" spans="1:16" x14ac:dyDescent="0.25">
      <c r="A79" s="81"/>
      <c r="B79" s="21"/>
      <c r="C79" s="21"/>
      <c r="D79" s="21"/>
      <c r="E79" s="21"/>
      <c r="F79" s="21"/>
      <c r="G79" s="21"/>
      <c r="H79" s="65"/>
      <c r="I79" s="83"/>
      <c r="N79" s="18"/>
    </row>
    <row r="80" spans="1:16" ht="15.75" thickBot="1" x14ac:dyDescent="0.3">
      <c r="A80" s="86" t="s">
        <v>13</v>
      </c>
      <c r="B80" s="87">
        <v>9000</v>
      </c>
      <c r="C80" s="91">
        <f t="shared" si="9"/>
        <v>1.2603276851981515</v>
      </c>
      <c r="D80" s="87"/>
      <c r="E80" s="88">
        <f>MIN($G$4,MAX($H$4,(1-(1-C80)*1)*$F$4))</f>
        <v>894</v>
      </c>
      <c r="F80" s="89">
        <f>(E80-E77)/E77</f>
        <v>0.2402241864983001</v>
      </c>
      <c r="G80" s="88">
        <f>IF(ABS(H80)&gt;$H$8,G77*(1+SIGN(H80)*$H$8),E80)</f>
        <v>828.96303038790086</v>
      </c>
      <c r="H80" s="89">
        <f>(E80-G77)/G77</f>
        <v>0.2402241864983001</v>
      </c>
      <c r="I80" s="90">
        <f>(G80-G77)/G77</f>
        <v>0.14999999999999997</v>
      </c>
      <c r="N80" s="18"/>
    </row>
  </sheetData>
  <mergeCells count="4">
    <mergeCell ref="A6:B6"/>
    <mergeCell ref="D7:E7"/>
    <mergeCell ref="G7:H7"/>
    <mergeCell ref="A10:C10"/>
  </mergeCells>
  <conditionalFormatting sqref="AB33:BC51 R55:BC56 AB53:BC54 O79:AZ94 Q57:AZ60 Q62:AZ78">
    <cfRule type="colorScale" priority="11">
      <colorScale>
        <cfvo type="min"/>
        <cfvo type="percentile" val="50"/>
        <cfvo type="max"/>
        <color rgb="FFF8696B"/>
        <color rgb="FFFFEB84"/>
        <color rgb="FF63BE7B"/>
      </colorScale>
    </cfRule>
  </conditionalFormatting>
  <conditionalFormatting sqref="E32:E52 E54 G54 G32:G52">
    <cfRule type="expression" dxfId="53" priority="14">
      <formula>E32&lt;=$H$3</formula>
    </cfRule>
    <cfRule type="expression" dxfId="52" priority="15">
      <formula>E32&gt;=$G$3</formula>
    </cfRule>
  </conditionalFormatting>
  <conditionalFormatting sqref="E58:E78 E80 G58:G78 G80">
    <cfRule type="expression" dxfId="51" priority="9">
      <formula>E58&lt;=$H$4</formula>
    </cfRule>
    <cfRule type="expression" dxfId="50" priority="10">
      <formula>E58&gt;=$G$4</formula>
    </cfRule>
  </conditionalFormatting>
  <pageMargins left="0.7" right="0.7" top="0.75" bottom="0.75" header="0.3" footer="0.3"/>
  <pageSetup orientation="portrait" horizontalDpi="0" verticalDpi="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Indices!$B$1:$C$1</xm:f>
          </x14:formula1>
          <xm:sqref>B2 B3</xm:sqref>
        </x14:dataValidation>
        <x14:dataValidation type="list" allowBlank="1" showInputMessage="1" showErrorMessage="1" xr:uid="{00000000-0002-0000-0300-000001000000}">
          <x14:formula1>
            <xm:f>Indices!$A$2:$A$23</xm:f>
          </x14:formula1>
          <xm:sqref>B12 B13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81"/>
  <sheetViews>
    <sheetView workbookViewId="0">
      <selection activeCell="B32" sqref="B32"/>
    </sheetView>
  </sheetViews>
  <sheetFormatPr defaultRowHeight="15" x14ac:dyDescent="0.25"/>
  <cols>
    <col min="1" max="1" width="17.5703125" style="3" customWidth="1"/>
    <col min="2" max="2" width="11.7109375" style="2" customWidth="1"/>
    <col min="3" max="3" width="13" style="2" customWidth="1"/>
    <col min="4" max="4" width="11.7109375" style="2" customWidth="1"/>
    <col min="5" max="5" width="14.42578125" style="2" bestFit="1" customWidth="1"/>
    <col min="6" max="7" width="12.28515625" style="2" customWidth="1"/>
    <col min="8" max="8" width="14.28515625" style="2" customWidth="1"/>
    <col min="9" max="9" width="13.28515625" customWidth="1"/>
    <col min="10" max="10" width="16.28515625" customWidth="1"/>
  </cols>
  <sheetData>
    <row r="1" spans="1:9" x14ac:dyDescent="0.25">
      <c r="A1" s="66" t="s">
        <v>50</v>
      </c>
      <c r="B1" s="63" t="s">
        <v>23</v>
      </c>
      <c r="C1" s="64" t="s">
        <v>66</v>
      </c>
      <c r="E1" s="175" t="s">
        <v>36</v>
      </c>
      <c r="F1" s="175"/>
      <c r="G1"/>
      <c r="H1"/>
    </row>
    <row r="2" spans="1:9" ht="14.85" customHeight="1" x14ac:dyDescent="0.25">
      <c r="A2" s="67" t="s">
        <v>20</v>
      </c>
      <c r="B2" s="96" t="s">
        <v>20</v>
      </c>
      <c r="C2" s="100" t="s">
        <v>54</v>
      </c>
      <c r="E2" s="10" t="s">
        <v>36</v>
      </c>
      <c r="F2" s="113" t="s">
        <v>42</v>
      </c>
      <c r="G2"/>
      <c r="H2"/>
    </row>
    <row r="3" spans="1:9" x14ac:dyDescent="0.25">
      <c r="A3" s="68" t="s">
        <v>49</v>
      </c>
      <c r="B3" s="98" t="s">
        <v>21</v>
      </c>
      <c r="C3" s="101" t="s">
        <v>54</v>
      </c>
      <c r="G3"/>
      <c r="H3"/>
    </row>
    <row r="4" spans="1:9" x14ac:dyDescent="0.25">
      <c r="A4"/>
      <c r="B4"/>
      <c r="C4"/>
      <c r="E4"/>
      <c r="F4"/>
      <c r="G4"/>
      <c r="H4"/>
    </row>
    <row r="5" spans="1:9" s="112" customFormat="1" ht="30" x14ac:dyDescent="0.25">
      <c r="A5" s="123" t="s">
        <v>84</v>
      </c>
      <c r="B5" s="121">
        <v>0</v>
      </c>
      <c r="C5" s="121">
        <v>100000</v>
      </c>
      <c r="D5" s="121">
        <v>124000</v>
      </c>
      <c r="E5" s="121">
        <v>175000</v>
      </c>
      <c r="F5" s="122">
        <v>200000</v>
      </c>
    </row>
    <row r="6" spans="1:9" s="112" customFormat="1" ht="30" x14ac:dyDescent="0.25">
      <c r="A6" s="124" t="s">
        <v>87</v>
      </c>
      <c r="B6" s="127">
        <f>B7*$D$14</f>
        <v>0</v>
      </c>
      <c r="C6" s="127">
        <f t="shared" ref="C6:F6" si="0">C7*$D$14</f>
        <v>5680.896087572195</v>
      </c>
      <c r="D6" s="127">
        <f t="shared" si="0"/>
        <v>7044.3111485895215</v>
      </c>
      <c r="E6" s="127">
        <f t="shared" si="0"/>
        <v>9941.5681532513408</v>
      </c>
      <c r="F6" s="128">
        <f t="shared" si="0"/>
        <v>11361.79217514439</v>
      </c>
      <c r="G6" s="129" t="s">
        <v>88</v>
      </c>
    </row>
    <row r="7" spans="1:9" x14ac:dyDescent="0.25">
      <c r="A7" s="125" t="s">
        <v>52</v>
      </c>
      <c r="B7" s="21">
        <f>B5/$D$13</f>
        <v>0</v>
      </c>
      <c r="C7" s="21">
        <f>C5/$D$13</f>
        <v>0.79553229065567777</v>
      </c>
      <c r="D7" s="21">
        <f>D5/$D$13</f>
        <v>0.98646004041304036</v>
      </c>
      <c r="E7" s="21">
        <f>E5/$D$13</f>
        <v>1.3921815086474361</v>
      </c>
      <c r="F7" s="37">
        <f>F5/$D$13</f>
        <v>1.5910645813113555</v>
      </c>
      <c r="G7"/>
    </row>
    <row r="8" spans="1:9" x14ac:dyDescent="0.25">
      <c r="A8" s="125" t="s">
        <v>85</v>
      </c>
      <c r="B8" s="40">
        <v>1412</v>
      </c>
      <c r="C8" s="40">
        <v>1745</v>
      </c>
      <c r="D8" s="40">
        <v>2025</v>
      </c>
      <c r="E8" s="40">
        <v>2325</v>
      </c>
      <c r="F8" s="35">
        <v>2325</v>
      </c>
      <c r="G8"/>
      <c r="H8"/>
    </row>
    <row r="9" spans="1:9" x14ac:dyDescent="0.25">
      <c r="A9" s="126" t="s">
        <v>86</v>
      </c>
      <c r="B9" s="41">
        <v>475</v>
      </c>
      <c r="C9" s="41">
        <v>525</v>
      </c>
      <c r="D9" s="41">
        <v>710</v>
      </c>
      <c r="E9" s="41">
        <v>894</v>
      </c>
      <c r="F9" s="36">
        <v>894</v>
      </c>
      <c r="G9"/>
      <c r="H9"/>
    </row>
    <row r="10" spans="1:9" x14ac:dyDescent="0.25">
      <c r="A10"/>
      <c r="B10"/>
      <c r="C10"/>
      <c r="D10"/>
      <c r="E10"/>
      <c r="F10"/>
      <c r="G10"/>
      <c r="H10"/>
    </row>
    <row r="11" spans="1:9" x14ac:dyDescent="0.25">
      <c r="A11" s="172" t="s">
        <v>65</v>
      </c>
      <c r="B11" s="173"/>
      <c r="C11" s="174"/>
      <c r="E11"/>
      <c r="F11"/>
      <c r="I11" s="2"/>
    </row>
    <row r="12" spans="1:9" x14ac:dyDescent="0.25">
      <c r="A12" s="55"/>
      <c r="B12" s="56" t="s">
        <v>18</v>
      </c>
      <c r="C12" s="57" t="s">
        <v>19</v>
      </c>
      <c r="E12"/>
      <c r="F12"/>
    </row>
    <row r="13" spans="1:9" x14ac:dyDescent="0.25">
      <c r="A13" s="53" t="s">
        <v>20</v>
      </c>
      <c r="B13" s="40">
        <v>2018</v>
      </c>
      <c r="C13" s="58" t="s">
        <v>54</v>
      </c>
      <c r="D13" s="11">
        <f>IF(B13="Mean",AVERAGE(B32:B52),VLOOKUP(B13,A32:D52,2))</f>
        <v>125702</v>
      </c>
      <c r="E13"/>
      <c r="F13"/>
    </row>
    <row r="14" spans="1:9" ht="15" customHeight="1" x14ac:dyDescent="0.25">
      <c r="A14" s="54" t="s">
        <v>49</v>
      </c>
      <c r="B14" s="41">
        <v>2018</v>
      </c>
      <c r="C14" s="59" t="s">
        <v>54</v>
      </c>
      <c r="D14" s="11">
        <f>IF(B14="Mean",AVERAGE(H32:H52),VLOOKUP(B14,G32:J52,2))</f>
        <v>7141</v>
      </c>
      <c r="E14"/>
      <c r="F14"/>
    </row>
    <row r="15" spans="1:9" x14ac:dyDescent="0.25">
      <c r="E15"/>
      <c r="F15"/>
      <c r="G15"/>
      <c r="H15"/>
    </row>
    <row r="16" spans="1:9" x14ac:dyDescent="0.25">
      <c r="E16"/>
      <c r="F16"/>
      <c r="G16"/>
      <c r="H16"/>
    </row>
    <row r="17" spans="1:12" x14ac:dyDescent="0.25">
      <c r="E17"/>
      <c r="F17"/>
      <c r="G17"/>
      <c r="H17"/>
    </row>
    <row r="18" spans="1:12" x14ac:dyDescent="0.25">
      <c r="E18"/>
      <c r="F18"/>
      <c r="G18"/>
      <c r="H18"/>
    </row>
    <row r="19" spans="1:12" x14ac:dyDescent="0.25">
      <c r="E19"/>
      <c r="F19"/>
      <c r="G19"/>
      <c r="H19"/>
    </row>
    <row r="20" spans="1:12" x14ac:dyDescent="0.25">
      <c r="E20"/>
      <c r="F20"/>
      <c r="G20"/>
      <c r="H20"/>
    </row>
    <row r="21" spans="1:12" x14ac:dyDescent="0.25">
      <c r="E21"/>
      <c r="F21"/>
      <c r="G21"/>
      <c r="H21"/>
    </row>
    <row r="22" spans="1:12" x14ac:dyDescent="0.25">
      <c r="E22"/>
      <c r="F22"/>
      <c r="G22"/>
      <c r="H22"/>
    </row>
    <row r="23" spans="1:12" x14ac:dyDescent="0.25">
      <c r="E23"/>
      <c r="F23"/>
      <c r="G23"/>
      <c r="H23"/>
    </row>
    <row r="24" spans="1:12" x14ac:dyDescent="0.25">
      <c r="E24"/>
      <c r="F24"/>
      <c r="G24"/>
      <c r="H24"/>
    </row>
    <row r="25" spans="1:12" x14ac:dyDescent="0.25">
      <c r="E25"/>
      <c r="F25"/>
      <c r="G25"/>
      <c r="H25"/>
    </row>
    <row r="26" spans="1:12" x14ac:dyDescent="0.25">
      <c r="E26"/>
      <c r="F26"/>
      <c r="G26"/>
      <c r="H26"/>
    </row>
    <row r="27" spans="1:12" x14ac:dyDescent="0.25">
      <c r="E27"/>
      <c r="F27"/>
      <c r="G27"/>
      <c r="H27"/>
    </row>
    <row r="28" spans="1:12" x14ac:dyDescent="0.25">
      <c r="E28"/>
      <c r="F28"/>
      <c r="G28"/>
      <c r="H28"/>
    </row>
    <row r="29" spans="1:12" ht="15.75" thickBot="1" x14ac:dyDescent="0.3">
      <c r="E29"/>
      <c r="F29"/>
      <c r="G29"/>
      <c r="H29"/>
    </row>
    <row r="30" spans="1:12" ht="15" customHeight="1" x14ac:dyDescent="0.25">
      <c r="A30" s="102" t="s">
        <v>67</v>
      </c>
      <c r="B30" s="103"/>
      <c r="C30" s="103"/>
      <c r="D30" s="104"/>
      <c r="E30"/>
      <c r="G30" s="181" t="s">
        <v>68</v>
      </c>
      <c r="H30" s="182"/>
      <c r="I30" s="103"/>
      <c r="J30" s="104"/>
    </row>
    <row r="31" spans="1:12" ht="30" x14ac:dyDescent="0.25">
      <c r="A31" s="77" t="s">
        <v>0</v>
      </c>
      <c r="B31" s="78" t="s">
        <v>70</v>
      </c>
      <c r="C31" s="78" t="s">
        <v>37</v>
      </c>
      <c r="D31" s="116" t="s">
        <v>50</v>
      </c>
      <c r="E31" s="130" t="s">
        <v>32</v>
      </c>
      <c r="F31" s="131" t="s">
        <v>33</v>
      </c>
      <c r="G31" s="77" t="s">
        <v>0</v>
      </c>
      <c r="H31" s="78" t="s">
        <v>70</v>
      </c>
      <c r="I31" s="78" t="s">
        <v>37</v>
      </c>
      <c r="J31" s="116" t="s">
        <v>50</v>
      </c>
      <c r="K31" s="130" t="s">
        <v>32</v>
      </c>
      <c r="L31" s="131" t="s">
        <v>33</v>
      </c>
    </row>
    <row r="32" spans="1:12" x14ac:dyDescent="0.25">
      <c r="A32" s="81">
        <v>1998</v>
      </c>
      <c r="B32" s="117">
        <f>IF($B$2="Trawl",Indices!B2,Indices!C2)</f>
        <v>161256</v>
      </c>
      <c r="C32" s="117">
        <f>B32</f>
        <v>161256</v>
      </c>
      <c r="D32" s="118">
        <f>HLOOKUP(C32,$B$5:$F$9,4,TRUE)</f>
        <v>2025</v>
      </c>
      <c r="E32" s="15">
        <f>$B$8</f>
        <v>1412</v>
      </c>
      <c r="F32" s="131">
        <f>$F$8</f>
        <v>2325</v>
      </c>
      <c r="G32" s="81">
        <v>1998</v>
      </c>
      <c r="H32" s="117">
        <f>IF($C$2="Trawl",Indices!B2,Indices!C2)</f>
        <v>18502</v>
      </c>
      <c r="I32" s="117">
        <f>H32</f>
        <v>18502</v>
      </c>
      <c r="J32" s="118">
        <f>HLOOKUP(I32/$D$14,$B$7:$F$9,3,TRUE)</f>
        <v>894</v>
      </c>
      <c r="K32" s="15">
        <f>$B$9</f>
        <v>475</v>
      </c>
      <c r="L32" s="131">
        <f>$F$9</f>
        <v>894</v>
      </c>
    </row>
    <row r="33" spans="1:12" x14ac:dyDescent="0.25">
      <c r="A33" s="81">
        <v>1999</v>
      </c>
      <c r="B33" s="117">
        <f>IF($B$2="Trawl",Indices!B3,Indices!C3)</f>
        <v>129116</v>
      </c>
      <c r="C33" s="117">
        <f>AVERAGE(B32,B33)</f>
        <v>145186</v>
      </c>
      <c r="D33" s="118">
        <f t="shared" ref="D33:D52" si="1">HLOOKUP(C33,$B$5:$F$9,4,TRUE)</f>
        <v>2025</v>
      </c>
      <c r="E33" s="15">
        <f t="shared" ref="E33:E52" si="2">$B$8</f>
        <v>1412</v>
      </c>
      <c r="F33" s="131">
        <f t="shared" ref="F33:F52" si="3">$F$8</f>
        <v>2325</v>
      </c>
      <c r="G33" s="81">
        <v>1999</v>
      </c>
      <c r="H33" s="117">
        <f>IF($C$2="Trawl",Indices!B3,Indices!C3)</f>
        <v>16201</v>
      </c>
      <c r="I33" s="117">
        <f>AVERAGE(H32,H33)</f>
        <v>17351.5</v>
      </c>
      <c r="J33" s="118">
        <f t="shared" ref="J33:J52" si="4">HLOOKUP(I33/$D$14,$B$7:$F$9,3,TRUE)</f>
        <v>894</v>
      </c>
      <c r="K33" s="15">
        <f t="shared" ref="K33:K52" si="5">$B$9</f>
        <v>475</v>
      </c>
      <c r="L33" s="131">
        <f t="shared" ref="L33:L52" si="6">$F$9</f>
        <v>894</v>
      </c>
    </row>
    <row r="34" spans="1:12" x14ac:dyDescent="0.25">
      <c r="A34" s="81">
        <v>2000</v>
      </c>
      <c r="B34" s="117">
        <f>IF($B$2="Trawl",Indices!B4,Indices!C4)</f>
        <v>118677</v>
      </c>
      <c r="C34" s="117">
        <f t="shared" ref="C34:C52" si="7">AVERAGE(B33,B34)</f>
        <v>123896.5</v>
      </c>
      <c r="D34" s="118">
        <f t="shared" si="1"/>
        <v>1745</v>
      </c>
      <c r="E34" s="15">
        <f t="shared" si="2"/>
        <v>1412</v>
      </c>
      <c r="F34" s="131">
        <f t="shared" si="3"/>
        <v>2325</v>
      </c>
      <c r="G34" s="81">
        <v>2000</v>
      </c>
      <c r="H34" s="117">
        <f>IF($C$2="Trawl",Indices!B4,Indices!C4)</f>
        <v>16203</v>
      </c>
      <c r="I34" s="117">
        <f t="shared" ref="I34:I52" si="8">AVERAGE(H33,H34)</f>
        <v>16202</v>
      </c>
      <c r="J34" s="118">
        <f t="shared" si="4"/>
        <v>894</v>
      </c>
      <c r="K34" s="15">
        <f t="shared" si="5"/>
        <v>475</v>
      </c>
      <c r="L34" s="131">
        <f t="shared" si="6"/>
        <v>894</v>
      </c>
    </row>
    <row r="35" spans="1:12" x14ac:dyDescent="0.25">
      <c r="A35" s="81">
        <v>2001</v>
      </c>
      <c r="B35" s="117">
        <f>IF($B$2="Trawl",Indices!B5,Indices!C5)</f>
        <v>141219</v>
      </c>
      <c r="C35" s="117">
        <f t="shared" si="7"/>
        <v>129948</v>
      </c>
      <c r="D35" s="118">
        <f t="shared" si="1"/>
        <v>2025</v>
      </c>
      <c r="E35" s="15">
        <f t="shared" si="2"/>
        <v>1412</v>
      </c>
      <c r="F35" s="131">
        <f t="shared" si="3"/>
        <v>2325</v>
      </c>
      <c r="G35" s="81">
        <v>2001</v>
      </c>
      <c r="H35" s="117">
        <f>IF($C$2="Trawl",Indices!B5,Indices!C5)</f>
        <v>13780</v>
      </c>
      <c r="I35" s="117">
        <f t="shared" si="8"/>
        <v>14991.5</v>
      </c>
      <c r="J35" s="118">
        <f t="shared" si="4"/>
        <v>894</v>
      </c>
      <c r="K35" s="15">
        <f t="shared" si="5"/>
        <v>475</v>
      </c>
      <c r="L35" s="131">
        <f t="shared" si="6"/>
        <v>894</v>
      </c>
    </row>
    <row r="36" spans="1:12" x14ac:dyDescent="0.25">
      <c r="A36" s="81">
        <v>2002</v>
      </c>
      <c r="B36" s="117">
        <f>IF($B$2="Trawl",Indices!B6,Indices!C6)</f>
        <v>101706</v>
      </c>
      <c r="C36" s="117">
        <f t="shared" si="7"/>
        <v>121462.5</v>
      </c>
      <c r="D36" s="118">
        <f t="shared" si="1"/>
        <v>1745</v>
      </c>
      <c r="E36" s="15">
        <f t="shared" si="2"/>
        <v>1412</v>
      </c>
      <c r="F36" s="131">
        <f t="shared" si="3"/>
        <v>2325</v>
      </c>
      <c r="G36" s="81">
        <v>2002</v>
      </c>
      <c r="H36" s="117">
        <f>IF($C$2="Trawl",Indices!B6,Indices!C6)</f>
        <v>12104</v>
      </c>
      <c r="I36" s="117">
        <f t="shared" si="8"/>
        <v>12942</v>
      </c>
      <c r="J36" s="118">
        <f t="shared" si="4"/>
        <v>894</v>
      </c>
      <c r="K36" s="15">
        <f t="shared" si="5"/>
        <v>475</v>
      </c>
      <c r="L36" s="131">
        <f t="shared" si="6"/>
        <v>894</v>
      </c>
    </row>
    <row r="37" spans="1:12" x14ac:dyDescent="0.25">
      <c r="A37" s="81">
        <v>2003</v>
      </c>
      <c r="B37" s="117">
        <f>IF($B$2="Trawl",Indices!B7,Indices!C7)</f>
        <v>132151</v>
      </c>
      <c r="C37" s="117">
        <f t="shared" si="7"/>
        <v>116928.5</v>
      </c>
      <c r="D37" s="118">
        <f t="shared" si="1"/>
        <v>1745</v>
      </c>
      <c r="E37" s="15">
        <f t="shared" si="2"/>
        <v>1412</v>
      </c>
      <c r="F37" s="131">
        <f t="shared" si="3"/>
        <v>2325</v>
      </c>
      <c r="G37" s="81">
        <v>2003</v>
      </c>
      <c r="H37" s="117">
        <f>IF($C$2="Trawl",Indices!B7,Indices!C7)</f>
        <v>10866</v>
      </c>
      <c r="I37" s="117">
        <f t="shared" si="8"/>
        <v>11485</v>
      </c>
      <c r="J37" s="118">
        <f t="shared" si="4"/>
        <v>894</v>
      </c>
      <c r="K37" s="15">
        <f t="shared" si="5"/>
        <v>475</v>
      </c>
      <c r="L37" s="131">
        <f t="shared" si="6"/>
        <v>894</v>
      </c>
    </row>
    <row r="38" spans="1:12" x14ac:dyDescent="0.25">
      <c r="A38" s="81">
        <v>2004</v>
      </c>
      <c r="B38" s="117">
        <f>IF($B$2="Trawl",Indices!B8,Indices!C8)</f>
        <v>130075</v>
      </c>
      <c r="C38" s="117">
        <f t="shared" si="7"/>
        <v>131113</v>
      </c>
      <c r="D38" s="118">
        <f t="shared" si="1"/>
        <v>2025</v>
      </c>
      <c r="E38" s="15">
        <f t="shared" si="2"/>
        <v>1412</v>
      </c>
      <c r="F38" s="131">
        <f t="shared" si="3"/>
        <v>2325</v>
      </c>
      <c r="G38" s="81">
        <v>2004</v>
      </c>
      <c r="H38" s="117">
        <f>IF($C$2="Trawl",Indices!B8,Indices!C8)</f>
        <v>9987</v>
      </c>
      <c r="I38" s="117">
        <f t="shared" si="8"/>
        <v>10426.5</v>
      </c>
      <c r="J38" s="118">
        <f t="shared" si="4"/>
        <v>894</v>
      </c>
      <c r="K38" s="15">
        <f t="shared" si="5"/>
        <v>475</v>
      </c>
      <c r="L38" s="131">
        <f t="shared" si="6"/>
        <v>894</v>
      </c>
    </row>
    <row r="39" spans="1:12" x14ac:dyDescent="0.25">
      <c r="A39" s="81">
        <v>2005</v>
      </c>
      <c r="B39" s="117">
        <f>IF($B$2="Trawl",Indices!B9,Indices!C9)</f>
        <v>132518</v>
      </c>
      <c r="C39" s="117">
        <f t="shared" si="7"/>
        <v>131296.5</v>
      </c>
      <c r="D39" s="118">
        <f t="shared" si="1"/>
        <v>2025</v>
      </c>
      <c r="E39" s="15">
        <f t="shared" si="2"/>
        <v>1412</v>
      </c>
      <c r="F39" s="131">
        <f t="shared" si="3"/>
        <v>2325</v>
      </c>
      <c r="G39" s="81">
        <v>2005</v>
      </c>
      <c r="H39" s="117">
        <f>IF($C$2="Trawl",Indices!B9,Indices!C9)</f>
        <v>9550</v>
      </c>
      <c r="I39" s="117">
        <f t="shared" si="8"/>
        <v>9768.5</v>
      </c>
      <c r="J39" s="118">
        <f t="shared" si="4"/>
        <v>710</v>
      </c>
      <c r="K39" s="15">
        <f t="shared" si="5"/>
        <v>475</v>
      </c>
      <c r="L39" s="131">
        <f t="shared" si="6"/>
        <v>894</v>
      </c>
    </row>
    <row r="40" spans="1:12" x14ac:dyDescent="0.25">
      <c r="A40" s="81">
        <v>2006</v>
      </c>
      <c r="B40" s="117">
        <f>IF($B$2="Trawl",Indices!B10,Indices!C10)</f>
        <v>155964</v>
      </c>
      <c r="C40" s="117">
        <f t="shared" si="7"/>
        <v>144241</v>
      </c>
      <c r="D40" s="118">
        <f t="shared" si="1"/>
        <v>2025</v>
      </c>
      <c r="E40" s="15">
        <f t="shared" si="2"/>
        <v>1412</v>
      </c>
      <c r="F40" s="131">
        <f t="shared" si="3"/>
        <v>2325</v>
      </c>
      <c r="G40" s="81">
        <v>2006</v>
      </c>
      <c r="H40" s="117">
        <f>IF($C$2="Trawl",Indices!B10,Indices!C10)</f>
        <v>9802</v>
      </c>
      <c r="I40" s="117">
        <f t="shared" si="8"/>
        <v>9676</v>
      </c>
      <c r="J40" s="118">
        <f t="shared" si="4"/>
        <v>710</v>
      </c>
      <c r="K40" s="15">
        <f t="shared" si="5"/>
        <v>475</v>
      </c>
      <c r="L40" s="131">
        <f t="shared" si="6"/>
        <v>894</v>
      </c>
    </row>
    <row r="41" spans="1:12" x14ac:dyDescent="0.25">
      <c r="A41" s="81">
        <v>2007</v>
      </c>
      <c r="B41" s="117">
        <f>IF($B$2="Trawl",Indices!B11,Indices!C11)</f>
        <v>143903</v>
      </c>
      <c r="C41" s="117">
        <f t="shared" si="7"/>
        <v>149933.5</v>
      </c>
      <c r="D41" s="118">
        <f t="shared" si="1"/>
        <v>2025</v>
      </c>
      <c r="E41" s="15">
        <f t="shared" si="2"/>
        <v>1412</v>
      </c>
      <c r="F41" s="131">
        <f t="shared" si="3"/>
        <v>2325</v>
      </c>
      <c r="G41" s="81">
        <v>2007</v>
      </c>
      <c r="H41" s="117">
        <f>IF($C$2="Trawl",Indices!B11,Indices!C11)</f>
        <v>9673</v>
      </c>
      <c r="I41" s="117">
        <f t="shared" si="8"/>
        <v>9737.5</v>
      </c>
      <c r="J41" s="118">
        <f t="shared" si="4"/>
        <v>710</v>
      </c>
      <c r="K41" s="15">
        <f t="shared" si="5"/>
        <v>475</v>
      </c>
      <c r="L41" s="131">
        <f t="shared" si="6"/>
        <v>894</v>
      </c>
    </row>
    <row r="42" spans="1:12" x14ac:dyDescent="0.25">
      <c r="A42" s="81">
        <v>2008</v>
      </c>
      <c r="B42" s="117">
        <f>IF($B$2="Trawl",Indices!B12,Indices!C12)</f>
        <v>140247</v>
      </c>
      <c r="C42" s="117">
        <f t="shared" si="7"/>
        <v>142075</v>
      </c>
      <c r="D42" s="118">
        <f t="shared" si="1"/>
        <v>2025</v>
      </c>
      <c r="E42" s="15">
        <f t="shared" si="2"/>
        <v>1412</v>
      </c>
      <c r="F42" s="131">
        <f t="shared" si="3"/>
        <v>2325</v>
      </c>
      <c r="G42" s="81">
        <v>2008</v>
      </c>
      <c r="H42" s="117">
        <f>IF($C$2="Trawl",Indices!B12,Indices!C12)</f>
        <v>10264</v>
      </c>
      <c r="I42" s="117">
        <f t="shared" si="8"/>
        <v>9968.5</v>
      </c>
      <c r="J42" s="118">
        <f t="shared" si="4"/>
        <v>894</v>
      </c>
      <c r="K42" s="15">
        <f t="shared" si="5"/>
        <v>475</v>
      </c>
      <c r="L42" s="131">
        <f t="shared" si="6"/>
        <v>894</v>
      </c>
    </row>
    <row r="43" spans="1:12" x14ac:dyDescent="0.25">
      <c r="A43" s="81">
        <v>2009</v>
      </c>
      <c r="B43" s="117">
        <f>IF($B$2="Trawl",Indices!B13,Indices!C13)</f>
        <v>168102</v>
      </c>
      <c r="C43" s="117">
        <f t="shared" si="7"/>
        <v>154174.5</v>
      </c>
      <c r="D43" s="118">
        <f t="shared" si="1"/>
        <v>2025</v>
      </c>
      <c r="E43" s="15">
        <f t="shared" si="2"/>
        <v>1412</v>
      </c>
      <c r="F43" s="131">
        <f t="shared" si="3"/>
        <v>2325</v>
      </c>
      <c r="G43" s="81">
        <v>2009</v>
      </c>
      <c r="H43" s="117">
        <f>IF($C$2="Trawl",Indices!B13,Indices!C13)</f>
        <v>9834</v>
      </c>
      <c r="I43" s="117">
        <f t="shared" si="8"/>
        <v>10049</v>
      </c>
      <c r="J43" s="118">
        <f t="shared" si="4"/>
        <v>894</v>
      </c>
      <c r="K43" s="15">
        <f t="shared" si="5"/>
        <v>475</v>
      </c>
      <c r="L43" s="131">
        <f t="shared" si="6"/>
        <v>894</v>
      </c>
    </row>
    <row r="44" spans="1:12" x14ac:dyDescent="0.25">
      <c r="A44" s="81">
        <v>2010</v>
      </c>
      <c r="B44" s="117">
        <f>IF($B$2="Trawl",Indices!B14,Indices!C14)</f>
        <v>195535</v>
      </c>
      <c r="C44" s="117">
        <f t="shared" si="7"/>
        <v>181818.5</v>
      </c>
      <c r="D44" s="118">
        <f t="shared" si="1"/>
        <v>2325</v>
      </c>
      <c r="E44" s="15">
        <f t="shared" si="2"/>
        <v>1412</v>
      </c>
      <c r="F44" s="131">
        <f t="shared" si="3"/>
        <v>2325</v>
      </c>
      <c r="G44" s="81">
        <v>2010</v>
      </c>
      <c r="H44" s="117">
        <f>IF($C$2="Trawl",Indices!B14,Indices!C14)</f>
        <v>9146</v>
      </c>
      <c r="I44" s="117">
        <f t="shared" si="8"/>
        <v>9490</v>
      </c>
      <c r="J44" s="118">
        <f t="shared" si="4"/>
        <v>710</v>
      </c>
      <c r="K44" s="15">
        <f t="shared" si="5"/>
        <v>475</v>
      </c>
      <c r="L44" s="131">
        <f t="shared" si="6"/>
        <v>894</v>
      </c>
    </row>
    <row r="45" spans="1:12" x14ac:dyDescent="0.25">
      <c r="A45" s="81">
        <v>2011</v>
      </c>
      <c r="B45" s="117">
        <f>IF($B$2="Trawl",Indices!B15,Indices!C15)</f>
        <v>186666</v>
      </c>
      <c r="C45" s="117">
        <f t="shared" si="7"/>
        <v>191100.5</v>
      </c>
      <c r="D45" s="118">
        <f t="shared" si="1"/>
        <v>2325</v>
      </c>
      <c r="E45" s="15">
        <f t="shared" si="2"/>
        <v>1412</v>
      </c>
      <c r="F45" s="131">
        <f t="shared" si="3"/>
        <v>2325</v>
      </c>
      <c r="G45" s="81">
        <v>2011</v>
      </c>
      <c r="H45" s="117">
        <f>IF($C$2="Trawl",Indices!B15,Indices!C15)</f>
        <v>8669</v>
      </c>
      <c r="I45" s="117">
        <f t="shared" si="8"/>
        <v>8907.5</v>
      </c>
      <c r="J45" s="118">
        <f t="shared" si="4"/>
        <v>710</v>
      </c>
      <c r="K45" s="15">
        <f t="shared" si="5"/>
        <v>475</v>
      </c>
      <c r="L45" s="131">
        <f t="shared" si="6"/>
        <v>894</v>
      </c>
    </row>
    <row r="46" spans="1:12" x14ac:dyDescent="0.25">
      <c r="A46" s="81">
        <v>2012</v>
      </c>
      <c r="B46" s="117">
        <f>IF($B$2="Trawl",Indices!B16,Indices!C16)</f>
        <v>189000</v>
      </c>
      <c r="C46" s="117">
        <f t="shared" si="7"/>
        <v>187833</v>
      </c>
      <c r="D46" s="118">
        <f t="shared" si="1"/>
        <v>2325</v>
      </c>
      <c r="E46" s="15">
        <f t="shared" si="2"/>
        <v>1412</v>
      </c>
      <c r="F46" s="131">
        <f t="shared" si="3"/>
        <v>2325</v>
      </c>
      <c r="G46" s="81">
        <v>2012</v>
      </c>
      <c r="H46" s="117">
        <f>IF($C$2="Trawl",Indices!B16,Indices!C16)</f>
        <v>8403</v>
      </c>
      <c r="I46" s="117">
        <f t="shared" si="8"/>
        <v>8536</v>
      </c>
      <c r="J46" s="118">
        <f t="shared" si="4"/>
        <v>710</v>
      </c>
      <c r="K46" s="15">
        <f t="shared" si="5"/>
        <v>475</v>
      </c>
      <c r="L46" s="131">
        <f t="shared" si="6"/>
        <v>894</v>
      </c>
    </row>
    <row r="47" spans="1:12" x14ac:dyDescent="0.25">
      <c r="A47" s="81">
        <v>2013</v>
      </c>
      <c r="B47" s="117">
        <f>IF($B$2="Trawl",Indices!B17,Indices!C17)</f>
        <v>183989</v>
      </c>
      <c r="C47" s="117">
        <f t="shared" si="7"/>
        <v>186494.5</v>
      </c>
      <c r="D47" s="118">
        <f t="shared" si="1"/>
        <v>2325</v>
      </c>
      <c r="E47" s="15">
        <f t="shared" si="2"/>
        <v>1412</v>
      </c>
      <c r="F47" s="131">
        <f t="shared" si="3"/>
        <v>2325</v>
      </c>
      <c r="G47" s="81">
        <v>2013</v>
      </c>
      <c r="H47" s="117">
        <f>IF($C$2="Trawl",Indices!B17,Indices!C17)</f>
        <v>7989</v>
      </c>
      <c r="I47" s="117">
        <f t="shared" si="8"/>
        <v>8196</v>
      </c>
      <c r="J47" s="118">
        <f t="shared" si="4"/>
        <v>710</v>
      </c>
      <c r="K47" s="15">
        <f t="shared" si="5"/>
        <v>475</v>
      </c>
      <c r="L47" s="131">
        <f t="shared" si="6"/>
        <v>894</v>
      </c>
    </row>
    <row r="48" spans="1:12" x14ac:dyDescent="0.25">
      <c r="A48" s="81">
        <v>2014</v>
      </c>
      <c r="B48" s="117">
        <f>IF($B$2="Trawl",Indices!B18,Indices!C18)</f>
        <v>171427</v>
      </c>
      <c r="C48" s="117">
        <f t="shared" si="7"/>
        <v>177708</v>
      </c>
      <c r="D48" s="118">
        <f t="shared" si="1"/>
        <v>2325</v>
      </c>
      <c r="E48" s="15">
        <f t="shared" si="2"/>
        <v>1412</v>
      </c>
      <c r="F48" s="131">
        <f t="shared" si="3"/>
        <v>2325</v>
      </c>
      <c r="G48" s="81">
        <v>2014</v>
      </c>
      <c r="H48" s="117">
        <f>IF($C$2="Trawl",Indices!B18,Indices!C18)</f>
        <v>7995</v>
      </c>
      <c r="I48" s="117">
        <f t="shared" si="8"/>
        <v>7992</v>
      </c>
      <c r="J48" s="118">
        <f t="shared" si="4"/>
        <v>710</v>
      </c>
      <c r="K48" s="15">
        <f t="shared" si="5"/>
        <v>475</v>
      </c>
      <c r="L48" s="131">
        <f t="shared" si="6"/>
        <v>894</v>
      </c>
    </row>
    <row r="49" spans="1:12" x14ac:dyDescent="0.25">
      <c r="A49" s="81">
        <v>2015</v>
      </c>
      <c r="B49" s="117">
        <f>IF($B$2="Trawl",Indices!B19,Indices!C19)</f>
        <v>172237</v>
      </c>
      <c r="C49" s="117">
        <f t="shared" si="7"/>
        <v>171832</v>
      </c>
      <c r="D49" s="118">
        <f t="shared" si="1"/>
        <v>2025</v>
      </c>
      <c r="E49" s="15">
        <f t="shared" si="2"/>
        <v>1412</v>
      </c>
      <c r="F49" s="131">
        <f t="shared" si="3"/>
        <v>2325</v>
      </c>
      <c r="G49" s="81">
        <v>2015</v>
      </c>
      <c r="H49" s="117">
        <f>IF($C$2="Trawl",Indices!B19,Indices!C19)</f>
        <v>8130</v>
      </c>
      <c r="I49" s="117">
        <f t="shared" si="8"/>
        <v>8062.5</v>
      </c>
      <c r="J49" s="118">
        <f t="shared" si="4"/>
        <v>710</v>
      </c>
      <c r="K49" s="15">
        <f t="shared" si="5"/>
        <v>475</v>
      </c>
      <c r="L49" s="131">
        <f t="shared" si="6"/>
        <v>894</v>
      </c>
    </row>
    <row r="50" spans="1:12" x14ac:dyDescent="0.25">
      <c r="A50" s="81">
        <v>2016</v>
      </c>
      <c r="B50" s="117">
        <f>IF($B$2="Trawl",Indices!B20,Indices!C20)</f>
        <v>153704</v>
      </c>
      <c r="C50" s="117">
        <f t="shared" si="7"/>
        <v>162970.5</v>
      </c>
      <c r="D50" s="118">
        <f t="shared" si="1"/>
        <v>2025</v>
      </c>
      <c r="E50" s="15">
        <f t="shared" si="2"/>
        <v>1412</v>
      </c>
      <c r="F50" s="131">
        <f t="shared" si="3"/>
        <v>2325</v>
      </c>
      <c r="G50" s="81">
        <v>2016</v>
      </c>
      <c r="H50" s="117">
        <f>IF($C$2="Trawl",Indices!B20,Indices!C20)</f>
        <v>7826</v>
      </c>
      <c r="I50" s="117">
        <f t="shared" si="8"/>
        <v>7978</v>
      </c>
      <c r="J50" s="118">
        <f t="shared" si="4"/>
        <v>710</v>
      </c>
      <c r="K50" s="15">
        <f t="shared" si="5"/>
        <v>475</v>
      </c>
      <c r="L50" s="131">
        <f t="shared" si="6"/>
        <v>894</v>
      </c>
    </row>
    <row r="51" spans="1:12" x14ac:dyDescent="0.25">
      <c r="A51" s="81">
        <v>2017</v>
      </c>
      <c r="B51" s="117">
        <f>IF($B$2="Trawl",Indices!B21,Indices!C21)</f>
        <v>126684</v>
      </c>
      <c r="C51" s="117">
        <f t="shared" si="7"/>
        <v>140194</v>
      </c>
      <c r="D51" s="118">
        <f t="shared" si="1"/>
        <v>2025</v>
      </c>
      <c r="E51" s="15">
        <f t="shared" si="2"/>
        <v>1412</v>
      </c>
      <c r="F51" s="131">
        <f t="shared" si="3"/>
        <v>2325</v>
      </c>
      <c r="G51" s="81">
        <v>2017</v>
      </c>
      <c r="H51" s="117">
        <f>IF($C$2="Trawl",Indices!B21,Indices!C21)</f>
        <v>7250</v>
      </c>
      <c r="I51" s="117">
        <f t="shared" si="8"/>
        <v>7538</v>
      </c>
      <c r="J51" s="118">
        <f t="shared" si="4"/>
        <v>710</v>
      </c>
      <c r="K51" s="15">
        <f t="shared" si="5"/>
        <v>475</v>
      </c>
      <c r="L51" s="131">
        <f t="shared" si="6"/>
        <v>894</v>
      </c>
    </row>
    <row r="52" spans="1:12" x14ac:dyDescent="0.25">
      <c r="A52" s="81">
        <v>2018</v>
      </c>
      <c r="B52" s="117">
        <f>IF($B$2="Trawl",Indices!B22,Indices!C22)</f>
        <v>125702</v>
      </c>
      <c r="C52" s="117">
        <f t="shared" si="7"/>
        <v>126193</v>
      </c>
      <c r="D52" s="118">
        <f t="shared" si="1"/>
        <v>2025</v>
      </c>
      <c r="E52" s="15">
        <f t="shared" si="2"/>
        <v>1412</v>
      </c>
      <c r="F52" s="131">
        <f t="shared" si="3"/>
        <v>2325</v>
      </c>
      <c r="G52" s="81">
        <v>2018</v>
      </c>
      <c r="H52" s="117">
        <f>IF($C$2="Trawl",Indices!B22,Indices!C22)</f>
        <v>7141</v>
      </c>
      <c r="I52" s="117">
        <f t="shared" si="8"/>
        <v>7195.5</v>
      </c>
      <c r="J52" s="118">
        <f t="shared" si="4"/>
        <v>710</v>
      </c>
      <c r="K52" s="15">
        <f t="shared" si="5"/>
        <v>475</v>
      </c>
      <c r="L52" s="131">
        <f t="shared" si="6"/>
        <v>894</v>
      </c>
    </row>
    <row r="53" spans="1:12" x14ac:dyDescent="0.25">
      <c r="A53" s="81"/>
      <c r="B53" s="21"/>
      <c r="C53" s="21"/>
      <c r="D53" s="83"/>
      <c r="E53"/>
      <c r="G53" s="81"/>
      <c r="H53" s="21"/>
      <c r="I53" s="21"/>
      <c r="J53" s="83"/>
    </row>
    <row r="54" spans="1:12" ht="15.75" thickBot="1" x14ac:dyDescent="0.3">
      <c r="A54" s="86" t="s">
        <v>13</v>
      </c>
      <c r="B54" s="87">
        <v>100000</v>
      </c>
      <c r="C54" s="119">
        <f>B54</f>
        <v>100000</v>
      </c>
      <c r="D54" s="120">
        <f>HLOOKUP(C54,$B$5:$F$9,4,TRUE)</f>
        <v>1745</v>
      </c>
      <c r="E54"/>
      <c r="G54" s="86" t="s">
        <v>13</v>
      </c>
      <c r="H54" s="87">
        <v>9000</v>
      </c>
      <c r="I54" s="119">
        <f>H54</f>
        <v>9000</v>
      </c>
      <c r="J54" s="120">
        <f>HLOOKUP(I54,$B$5:$F$9,4,TRUE)</f>
        <v>1412</v>
      </c>
    </row>
    <row r="55" spans="1:12" x14ac:dyDescent="0.25">
      <c r="A55"/>
      <c r="B55"/>
      <c r="C55"/>
      <c r="D55"/>
      <c r="E55"/>
      <c r="F55"/>
      <c r="G55"/>
      <c r="H55"/>
    </row>
    <row r="56" spans="1:12" x14ac:dyDescent="0.25">
      <c r="E56"/>
      <c r="F56"/>
      <c r="G56"/>
      <c r="H56"/>
    </row>
    <row r="57" spans="1:12" x14ac:dyDescent="0.25">
      <c r="E57"/>
      <c r="F57"/>
    </row>
    <row r="58" spans="1:12" x14ac:dyDescent="0.25">
      <c r="E58"/>
      <c r="F58"/>
    </row>
    <row r="59" spans="1:12" x14ac:dyDescent="0.25">
      <c r="E59"/>
      <c r="F59"/>
    </row>
    <row r="60" spans="1:12" x14ac:dyDescent="0.25">
      <c r="E60"/>
      <c r="F60"/>
    </row>
    <row r="81" spans="1:4" x14ac:dyDescent="0.25">
      <c r="A81"/>
      <c r="B81"/>
      <c r="C81"/>
      <c r="D81"/>
    </row>
  </sheetData>
  <mergeCells count="3">
    <mergeCell ref="A11:C11"/>
    <mergeCell ref="E1:F1"/>
    <mergeCell ref="G30:H30"/>
  </mergeCells>
  <dataValidations count="1">
    <dataValidation type="list" allowBlank="1" showInputMessage="1" showErrorMessage="1" sqref="F2" xr:uid="{00000000-0002-0000-0400-000000000000}">
      <formula1>"B"</formula1>
    </dataValidation>
  </dataValidations>
  <pageMargins left="0.7" right="0.7" top="0.75" bottom="0.75" header="0.3" footer="0.3"/>
  <pageSetup orientation="portrait" horizontalDpi="4294967293" verticalDpi="4294967293"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1000000}">
          <x14:formula1>
            <xm:f>Indices!$A$2:$A$23</xm:f>
          </x14:formula1>
          <xm:sqref>B13:B14</xm:sqref>
        </x14:dataValidation>
        <x14:dataValidation type="list" allowBlank="1" showInputMessage="1" showErrorMessage="1" xr:uid="{00000000-0002-0000-0400-000002000000}">
          <x14:formula1>
            <xm:f>Indices!$B$1:$C$1</xm:f>
          </x14:formula1>
          <xm:sqref>B2:B3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80"/>
  <sheetViews>
    <sheetView zoomScale="90" zoomScaleNormal="90" workbookViewId="0">
      <selection activeCell="B9" sqref="B9"/>
    </sheetView>
  </sheetViews>
  <sheetFormatPr defaultRowHeight="15" x14ac:dyDescent="0.25"/>
  <cols>
    <col min="1" max="1" width="14.28515625" style="3" customWidth="1"/>
    <col min="2" max="8" width="14.28515625" style="2" customWidth="1"/>
    <col min="9" max="9" width="12.28515625" style="2" customWidth="1"/>
    <col min="10" max="10" width="11" customWidth="1"/>
    <col min="11" max="11" width="13.28515625" customWidth="1"/>
    <col min="12" max="12" width="16.28515625" customWidth="1"/>
  </cols>
  <sheetData>
    <row r="1" spans="1:11" x14ac:dyDescent="0.25">
      <c r="A1" s="66" t="s">
        <v>50</v>
      </c>
      <c r="B1" s="63" t="s">
        <v>23</v>
      </c>
      <c r="C1" s="64" t="s">
        <v>66</v>
      </c>
      <c r="E1" s="92"/>
      <c r="F1" s="46" t="s">
        <v>1</v>
      </c>
      <c r="G1" s="46" t="s">
        <v>3</v>
      </c>
      <c r="H1" s="93" t="s">
        <v>5</v>
      </c>
    </row>
    <row r="2" spans="1:11" x14ac:dyDescent="0.25">
      <c r="A2" s="67" t="s">
        <v>20</v>
      </c>
      <c r="B2" s="96" t="s">
        <v>20</v>
      </c>
      <c r="C2" s="100" t="s">
        <v>54</v>
      </c>
      <c r="E2" s="43" t="s">
        <v>64</v>
      </c>
      <c r="F2" s="39" t="s">
        <v>2</v>
      </c>
      <c r="G2" s="39" t="s">
        <v>4</v>
      </c>
      <c r="H2" s="42" t="s">
        <v>6</v>
      </c>
    </row>
    <row r="3" spans="1:11" x14ac:dyDescent="0.25">
      <c r="A3" s="68" t="s">
        <v>49</v>
      </c>
      <c r="B3" s="98" t="s">
        <v>21</v>
      </c>
      <c r="C3" s="101" t="s">
        <v>54</v>
      </c>
      <c r="E3" s="44" t="s">
        <v>20</v>
      </c>
      <c r="F3" s="40">
        <v>2805</v>
      </c>
      <c r="G3" s="40">
        <v>3532</v>
      </c>
      <c r="H3" s="35">
        <v>1879</v>
      </c>
    </row>
    <row r="4" spans="1:11" x14ac:dyDescent="0.25">
      <c r="A4" s="10"/>
      <c r="B4"/>
      <c r="C4"/>
      <c r="E4" s="45" t="s">
        <v>49</v>
      </c>
      <c r="F4" s="41">
        <v>710</v>
      </c>
      <c r="G4" s="40">
        <v>894</v>
      </c>
      <c r="H4" s="35">
        <v>475</v>
      </c>
      <c r="I4"/>
    </row>
    <row r="5" spans="1:11" x14ac:dyDescent="0.25">
      <c r="A5"/>
      <c r="B5"/>
      <c r="C5"/>
      <c r="D5"/>
      <c r="E5" s="70" t="s">
        <v>58</v>
      </c>
      <c r="F5" s="50">
        <f>SUM(F3:F4)</f>
        <v>3515</v>
      </c>
      <c r="G5" s="51">
        <f>SUM(G3:G4)</f>
        <v>4426</v>
      </c>
      <c r="H5" s="52">
        <f>SUM(H3:H4)</f>
        <v>2354</v>
      </c>
      <c r="I5"/>
    </row>
    <row r="6" spans="1:11" x14ac:dyDescent="0.25">
      <c r="A6" s="177" t="s">
        <v>16</v>
      </c>
      <c r="B6" s="178"/>
      <c r="C6"/>
      <c r="D6"/>
      <c r="E6"/>
      <c r="F6"/>
      <c r="G6"/>
      <c r="H6"/>
      <c r="I6"/>
      <c r="J6" s="3"/>
      <c r="K6" s="2"/>
    </row>
    <row r="7" spans="1:11" x14ac:dyDescent="0.25">
      <c r="A7" s="71" t="s">
        <v>9</v>
      </c>
      <c r="B7" s="58" t="s">
        <v>54</v>
      </c>
      <c r="C7"/>
      <c r="D7" s="177" t="s">
        <v>17</v>
      </c>
      <c r="E7" s="178"/>
      <c r="F7"/>
      <c r="G7" s="179" t="s">
        <v>63</v>
      </c>
      <c r="H7" s="180"/>
      <c r="I7"/>
      <c r="J7" s="3"/>
      <c r="K7" s="2"/>
    </row>
    <row r="8" spans="1:11" x14ac:dyDescent="0.25">
      <c r="A8" s="72" t="s">
        <v>10</v>
      </c>
      <c r="B8" s="59" t="s">
        <v>54</v>
      </c>
      <c r="C8"/>
      <c r="D8" s="94" t="s">
        <v>61</v>
      </c>
      <c r="E8" s="58" t="s">
        <v>54</v>
      </c>
      <c r="F8"/>
      <c r="G8" s="73" t="s">
        <v>59</v>
      </c>
      <c r="H8" s="75">
        <v>0.15</v>
      </c>
      <c r="I8"/>
      <c r="J8" s="3"/>
      <c r="K8" s="2"/>
    </row>
    <row r="9" spans="1:11" x14ac:dyDescent="0.25">
      <c r="A9"/>
      <c r="B9"/>
      <c r="C9"/>
      <c r="D9" s="95" t="s">
        <v>62</v>
      </c>
      <c r="E9" s="59" t="s">
        <v>54</v>
      </c>
      <c r="F9"/>
      <c r="G9" s="74" t="s">
        <v>60</v>
      </c>
      <c r="H9" s="76">
        <v>0.15</v>
      </c>
      <c r="I9"/>
      <c r="J9" s="3"/>
      <c r="K9" s="3"/>
    </row>
    <row r="10" spans="1:11" ht="15" customHeight="1" x14ac:dyDescent="0.25">
      <c r="A10" s="172" t="s">
        <v>65</v>
      </c>
      <c r="B10" s="173"/>
      <c r="C10" s="174"/>
      <c r="I10"/>
    </row>
    <row r="11" spans="1:11" x14ac:dyDescent="0.25">
      <c r="A11" s="55"/>
      <c r="B11" s="56" t="s">
        <v>18</v>
      </c>
      <c r="C11" s="57" t="s">
        <v>19</v>
      </c>
    </row>
    <row r="12" spans="1:11" ht="15" customHeight="1" x14ac:dyDescent="0.25">
      <c r="A12" s="53" t="s">
        <v>20</v>
      </c>
      <c r="B12" s="40">
        <v>2018</v>
      </c>
      <c r="C12" s="58"/>
      <c r="D12" s="11">
        <f>VLOOKUP(B12,A32:D52,2)</f>
        <v>125702</v>
      </c>
      <c r="E12" s="11" t="e">
        <f>IF(C12="Mean",AVERAGE(D32:D52),VLOOKUP(C12,A32:D52,4))</f>
        <v>#N/A</v>
      </c>
      <c r="G12"/>
      <c r="H12"/>
      <c r="I12"/>
    </row>
    <row r="13" spans="1:11" x14ac:dyDescent="0.25">
      <c r="A13" s="54" t="s">
        <v>49</v>
      </c>
      <c r="B13" s="41">
        <v>2018</v>
      </c>
      <c r="C13" s="59"/>
      <c r="D13" s="11">
        <f>VLOOKUP(B13,A58:D78,2)</f>
        <v>7141</v>
      </c>
      <c r="E13" s="11" t="e">
        <f>IF(C13="Mean",AVERAGE(D58:D78),VLOOKUP(C13,A58:D78,4))</f>
        <v>#N/A</v>
      </c>
      <c r="G13"/>
      <c r="H13"/>
      <c r="I13"/>
    </row>
    <row r="14" spans="1:11" x14ac:dyDescent="0.25">
      <c r="A14"/>
      <c r="B14"/>
      <c r="C14"/>
      <c r="D14"/>
      <c r="E14"/>
      <c r="F14"/>
      <c r="G14"/>
      <c r="H14"/>
      <c r="I14"/>
    </row>
    <row r="15" spans="1:11" x14ac:dyDescent="0.25">
      <c r="A15"/>
      <c r="B15"/>
      <c r="C15"/>
      <c r="D15"/>
      <c r="E15"/>
      <c r="F15"/>
      <c r="G15"/>
      <c r="H15"/>
      <c r="I15"/>
    </row>
    <row r="16" spans="1:11" x14ac:dyDescent="0.25">
      <c r="A16"/>
      <c r="B16"/>
      <c r="C16"/>
      <c r="D16"/>
      <c r="E16"/>
      <c r="F16"/>
      <c r="G16"/>
      <c r="H16"/>
      <c r="I16"/>
    </row>
    <row r="17" spans="1:16" x14ac:dyDescent="0.25">
      <c r="A17"/>
      <c r="B17"/>
      <c r="C17"/>
      <c r="D17"/>
      <c r="E17"/>
      <c r="F17"/>
      <c r="G17"/>
      <c r="H17"/>
      <c r="I17"/>
    </row>
    <row r="18" spans="1:16" x14ac:dyDescent="0.25">
      <c r="A18"/>
      <c r="B18"/>
      <c r="C18"/>
      <c r="D18"/>
      <c r="E18"/>
      <c r="F18"/>
      <c r="G18"/>
      <c r="H18"/>
      <c r="I18"/>
    </row>
    <row r="19" spans="1:16" x14ac:dyDescent="0.25">
      <c r="A19"/>
      <c r="B19"/>
      <c r="C19"/>
      <c r="D19"/>
      <c r="E19"/>
      <c r="F19"/>
      <c r="G19"/>
      <c r="H19"/>
      <c r="I19"/>
    </row>
    <row r="20" spans="1:16" x14ac:dyDescent="0.25">
      <c r="A20"/>
      <c r="B20"/>
      <c r="C20"/>
      <c r="D20"/>
      <c r="E20"/>
      <c r="F20"/>
      <c r="G20"/>
      <c r="H20"/>
      <c r="I20"/>
    </row>
    <row r="21" spans="1:16" x14ac:dyDescent="0.25">
      <c r="A21"/>
      <c r="B21"/>
      <c r="C21"/>
      <c r="D21"/>
      <c r="E21"/>
      <c r="F21"/>
      <c r="G21"/>
      <c r="H21"/>
      <c r="I21"/>
    </row>
    <row r="22" spans="1:16" x14ac:dyDescent="0.25">
      <c r="A22"/>
      <c r="B22"/>
      <c r="C22"/>
      <c r="D22"/>
      <c r="E22"/>
      <c r="F22"/>
      <c r="G22"/>
      <c r="H22"/>
      <c r="I22"/>
    </row>
    <row r="23" spans="1:16" x14ac:dyDescent="0.25">
      <c r="A23"/>
      <c r="B23"/>
      <c r="C23"/>
      <c r="D23"/>
      <c r="E23"/>
      <c r="F23"/>
      <c r="G23"/>
      <c r="H23"/>
      <c r="I23"/>
    </row>
    <row r="24" spans="1:16" x14ac:dyDescent="0.25">
      <c r="A24"/>
      <c r="B24"/>
      <c r="C24"/>
      <c r="D24"/>
      <c r="E24"/>
      <c r="F24"/>
      <c r="G24"/>
      <c r="H24"/>
      <c r="I24"/>
    </row>
    <row r="25" spans="1:16" x14ac:dyDescent="0.25">
      <c r="A25"/>
      <c r="B25"/>
      <c r="C25"/>
      <c r="D25"/>
      <c r="E25"/>
      <c r="F25"/>
      <c r="G25"/>
      <c r="H25"/>
      <c r="I25"/>
    </row>
    <row r="26" spans="1:16" x14ac:dyDescent="0.25">
      <c r="A26"/>
      <c r="B26"/>
      <c r="C26"/>
      <c r="D26"/>
      <c r="E26"/>
      <c r="F26"/>
      <c r="G26"/>
      <c r="H26"/>
      <c r="I26"/>
    </row>
    <row r="27" spans="1:16" x14ac:dyDescent="0.25">
      <c r="A27"/>
      <c r="B27"/>
      <c r="C27"/>
      <c r="D27"/>
      <c r="E27"/>
      <c r="F27"/>
      <c r="G27"/>
      <c r="H27"/>
      <c r="I27"/>
    </row>
    <row r="28" spans="1:16" x14ac:dyDescent="0.25">
      <c r="A28"/>
      <c r="B28"/>
      <c r="C28"/>
      <c r="D28"/>
      <c r="E28"/>
      <c r="F28"/>
      <c r="G28"/>
      <c r="H28"/>
      <c r="I28"/>
    </row>
    <row r="29" spans="1:16" ht="15.75" thickBot="1" x14ac:dyDescent="0.3">
      <c r="A29"/>
      <c r="B29"/>
      <c r="C29"/>
      <c r="D29"/>
      <c r="E29"/>
      <c r="F29"/>
      <c r="G29"/>
      <c r="H29"/>
      <c r="I29"/>
    </row>
    <row r="30" spans="1:16" ht="15" customHeight="1" x14ac:dyDescent="0.25">
      <c r="A30" s="102" t="s">
        <v>67</v>
      </c>
      <c r="B30" s="103"/>
      <c r="C30" s="103"/>
      <c r="D30" s="103"/>
      <c r="E30" s="103"/>
      <c r="F30" s="103"/>
      <c r="G30" s="103"/>
      <c r="H30" s="103"/>
      <c r="I30" s="104"/>
    </row>
    <row r="31" spans="1:16" ht="45" x14ac:dyDescent="0.25">
      <c r="A31" s="77" t="s">
        <v>0</v>
      </c>
      <c r="B31" s="78" t="s">
        <v>38</v>
      </c>
      <c r="C31" s="78" t="s">
        <v>7</v>
      </c>
      <c r="D31" s="78"/>
      <c r="E31" s="78" t="s">
        <v>27</v>
      </c>
      <c r="F31" s="79" t="s">
        <v>26</v>
      </c>
      <c r="G31" s="78" t="s">
        <v>40</v>
      </c>
      <c r="H31" s="79" t="s">
        <v>28</v>
      </c>
      <c r="I31" s="80" t="s">
        <v>29</v>
      </c>
      <c r="L31" s="1"/>
      <c r="N31" s="17"/>
      <c r="O31" s="15" t="s">
        <v>6</v>
      </c>
      <c r="P31" s="15" t="s">
        <v>4</v>
      </c>
    </row>
    <row r="32" spans="1:16" x14ac:dyDescent="0.25">
      <c r="A32" s="81">
        <v>1998</v>
      </c>
      <c r="B32" s="21">
        <f>IF($B$2="Trawl",Indices!B2,Indices!C2)</f>
        <v>161256</v>
      </c>
      <c r="C32" s="22">
        <f t="shared" ref="C32:C52" si="0">B32/D$12</f>
        <v>1.2828435506197196</v>
      </c>
      <c r="D32" s="21"/>
      <c r="E32" s="82">
        <f t="shared" ref="E32:E52" si="1">MIN($G$3,MAX($H$3,(1-(1-C32)*1)*$F$3))</f>
        <v>3532</v>
      </c>
      <c r="F32" s="65"/>
      <c r="G32" s="82">
        <f>E32</f>
        <v>3532</v>
      </c>
      <c r="H32" s="65"/>
      <c r="I32" s="83"/>
      <c r="L32" s="2"/>
      <c r="N32" s="18"/>
      <c r="O32" s="15">
        <f t="shared" ref="O32:O51" si="2">$H$3</f>
        <v>1879</v>
      </c>
      <c r="P32" s="15">
        <f t="shared" ref="P32:P51" si="3">$G$3</f>
        <v>3532</v>
      </c>
    </row>
    <row r="33" spans="1:16" x14ac:dyDescent="0.25">
      <c r="A33" s="81">
        <v>1999</v>
      </c>
      <c r="B33" s="21">
        <f>IF($B$2="Trawl",Indices!B3,Indices!C3)</f>
        <v>129116</v>
      </c>
      <c r="C33" s="22">
        <f t="shared" si="0"/>
        <v>1.0271594724029849</v>
      </c>
      <c r="D33" s="21"/>
      <c r="E33" s="82">
        <f t="shared" si="1"/>
        <v>2881.1823200903727</v>
      </c>
      <c r="F33" s="84">
        <f>(E33-E32)/E32</f>
        <v>-0.18426321628245393</v>
      </c>
      <c r="G33" s="82">
        <f t="shared" ref="G33:G52" si="4">IF(H33&gt;0,IF(ABS(H33)&gt;$H$8,G32*(1+SIGN(H33)*$H$8),E33),IF(ABS(H33)&gt;$H$9,G32*(1+SIGN(H33)*$H$9),E33))</f>
        <v>3002.2</v>
      </c>
      <c r="H33" s="84">
        <f t="shared" ref="H33:H52" si="5">(E33-G32)/G32</f>
        <v>-0.18426321628245393</v>
      </c>
      <c r="I33" s="85">
        <f>(G33-G32)/G32</f>
        <v>-0.15000000000000005</v>
      </c>
      <c r="L33" s="2"/>
      <c r="N33" s="18"/>
      <c r="O33" s="15">
        <f t="shared" si="2"/>
        <v>1879</v>
      </c>
      <c r="P33" s="15">
        <f t="shared" si="3"/>
        <v>3532</v>
      </c>
    </row>
    <row r="34" spans="1:16" x14ac:dyDescent="0.25">
      <c r="A34" s="81">
        <v>2000</v>
      </c>
      <c r="B34" s="21">
        <f>IF($B$2="Trawl",Indices!B4,Indices!C4)</f>
        <v>118677</v>
      </c>
      <c r="C34" s="22">
        <f t="shared" si="0"/>
        <v>0.94411385658143865</v>
      </c>
      <c r="D34" s="21"/>
      <c r="E34" s="82">
        <f t="shared" si="1"/>
        <v>2648.2393677109353</v>
      </c>
      <c r="F34" s="84">
        <f t="shared" ref="F34:F52" si="6">(E34-E33)/E33</f>
        <v>-8.0849778493757671E-2</v>
      </c>
      <c r="G34" s="82">
        <f t="shared" si="4"/>
        <v>2648.2393677109353</v>
      </c>
      <c r="H34" s="84">
        <f t="shared" si="5"/>
        <v>-0.1179004171237974</v>
      </c>
      <c r="I34" s="85">
        <f>(G34-G33)/G33</f>
        <v>-0.1179004171237974</v>
      </c>
      <c r="L34" s="2"/>
      <c r="N34" s="18"/>
      <c r="O34" s="15">
        <f t="shared" si="2"/>
        <v>1879</v>
      </c>
      <c r="P34" s="15">
        <f t="shared" si="3"/>
        <v>3532</v>
      </c>
    </row>
    <row r="35" spans="1:16" x14ac:dyDescent="0.25">
      <c r="A35" s="81">
        <v>2001</v>
      </c>
      <c r="B35" s="21">
        <f>IF($B$2="Trawl",Indices!B5,Indices!C5)</f>
        <v>141219</v>
      </c>
      <c r="C35" s="22">
        <f t="shared" si="0"/>
        <v>1.1234427455410416</v>
      </c>
      <c r="D35" s="21"/>
      <c r="E35" s="82">
        <f t="shared" si="1"/>
        <v>3151.2569012426216</v>
      </c>
      <c r="F35" s="84">
        <f t="shared" si="6"/>
        <v>0.18994413407821237</v>
      </c>
      <c r="G35" s="82">
        <f t="shared" si="4"/>
        <v>3045.4752728675753</v>
      </c>
      <c r="H35" s="84">
        <f t="shared" si="5"/>
        <v>0.18994413407821237</v>
      </c>
      <c r="I35" s="85">
        <f t="shared" ref="I35:I52" si="7">(G35-G34)/G34</f>
        <v>0.14999999999999988</v>
      </c>
      <c r="L35" s="2"/>
      <c r="N35" s="18"/>
      <c r="O35" s="15">
        <f t="shared" si="2"/>
        <v>1879</v>
      </c>
      <c r="P35" s="15">
        <f t="shared" si="3"/>
        <v>3532</v>
      </c>
    </row>
    <row r="36" spans="1:16" x14ac:dyDescent="0.25">
      <c r="A36" s="81">
        <v>2002</v>
      </c>
      <c r="B36" s="21">
        <f>IF($B$2="Trawl",Indices!B6,Indices!C6)</f>
        <v>101706</v>
      </c>
      <c r="C36" s="22">
        <f t="shared" si="0"/>
        <v>0.80910407153426356</v>
      </c>
      <c r="D36" s="21"/>
      <c r="E36" s="82">
        <f t="shared" si="1"/>
        <v>2269.5369206536093</v>
      </c>
      <c r="F36" s="84">
        <f t="shared" si="6"/>
        <v>-0.27979946041255077</v>
      </c>
      <c r="G36" s="82">
        <f t="shared" si="4"/>
        <v>2588.6539819374389</v>
      </c>
      <c r="H36" s="84">
        <f t="shared" si="5"/>
        <v>-0.25478399352865333</v>
      </c>
      <c r="I36" s="85">
        <f t="shared" si="7"/>
        <v>-0.15000000000000005</v>
      </c>
      <c r="L36" s="2"/>
      <c r="N36" s="18"/>
      <c r="O36" s="15">
        <f t="shared" si="2"/>
        <v>1879</v>
      </c>
      <c r="P36" s="15">
        <f t="shared" si="3"/>
        <v>3532</v>
      </c>
    </row>
    <row r="37" spans="1:16" x14ac:dyDescent="0.25">
      <c r="A37" s="81">
        <v>2003</v>
      </c>
      <c r="B37" s="21">
        <f>IF($B$2="Trawl",Indices!B7,Indices!C7)</f>
        <v>132151</v>
      </c>
      <c r="C37" s="22">
        <f t="shared" si="0"/>
        <v>1.0513038774243846</v>
      </c>
      <c r="D37" s="21"/>
      <c r="E37" s="82">
        <f t="shared" si="1"/>
        <v>2948.9073761753989</v>
      </c>
      <c r="F37" s="84">
        <f t="shared" si="6"/>
        <v>0.29934320492399663</v>
      </c>
      <c r="G37" s="82">
        <f t="shared" si="4"/>
        <v>2948.9073761753989</v>
      </c>
      <c r="H37" s="84">
        <f t="shared" si="5"/>
        <v>0.13916629906957817</v>
      </c>
      <c r="I37" s="85">
        <f t="shared" si="7"/>
        <v>0.13916629906957817</v>
      </c>
      <c r="L37" s="2"/>
      <c r="N37" s="18"/>
      <c r="O37" s="15">
        <f t="shared" si="2"/>
        <v>1879</v>
      </c>
      <c r="P37" s="15">
        <f t="shared" si="3"/>
        <v>3532</v>
      </c>
    </row>
    <row r="38" spans="1:16" x14ac:dyDescent="0.25">
      <c r="A38" s="81">
        <v>2004</v>
      </c>
      <c r="B38" s="21">
        <f>IF($B$2="Trawl",Indices!B8,Indices!C8)</f>
        <v>130075</v>
      </c>
      <c r="C38" s="22">
        <f t="shared" si="0"/>
        <v>1.0347886270703728</v>
      </c>
      <c r="D38" s="21"/>
      <c r="E38" s="82">
        <f t="shared" si="1"/>
        <v>2902.5820989323956</v>
      </c>
      <c r="F38" s="84">
        <f t="shared" si="6"/>
        <v>-1.5709302237591833E-2</v>
      </c>
      <c r="G38" s="82">
        <f t="shared" si="4"/>
        <v>2902.5820989323956</v>
      </c>
      <c r="H38" s="84">
        <f t="shared" si="5"/>
        <v>-1.5709302237591833E-2</v>
      </c>
      <c r="I38" s="85">
        <f t="shared" si="7"/>
        <v>-1.5709302237591833E-2</v>
      </c>
      <c r="L38" s="2"/>
      <c r="N38" s="18"/>
      <c r="O38" s="15">
        <f t="shared" si="2"/>
        <v>1879</v>
      </c>
      <c r="P38" s="15">
        <f t="shared" si="3"/>
        <v>3532</v>
      </c>
    </row>
    <row r="39" spans="1:16" x14ac:dyDescent="0.25">
      <c r="A39" s="81">
        <v>2005</v>
      </c>
      <c r="B39" s="21">
        <f>IF($B$2="Trawl",Indices!B9,Indices!C9)</f>
        <v>132518</v>
      </c>
      <c r="C39" s="22">
        <f t="shared" si="0"/>
        <v>1.0542234809310911</v>
      </c>
      <c r="D39" s="21"/>
      <c r="E39" s="82">
        <f t="shared" si="1"/>
        <v>2957.0968640117103</v>
      </c>
      <c r="F39" s="84">
        <f t="shared" si="6"/>
        <v>1.8781472227561054E-2</v>
      </c>
      <c r="G39" s="82">
        <f t="shared" si="4"/>
        <v>2957.0968640117103</v>
      </c>
      <c r="H39" s="84">
        <f t="shared" si="5"/>
        <v>1.8781472227561054E-2</v>
      </c>
      <c r="I39" s="85">
        <f t="shared" si="7"/>
        <v>1.8781472227561054E-2</v>
      </c>
      <c r="L39" s="2"/>
      <c r="N39" s="18"/>
      <c r="O39" s="15">
        <f t="shared" si="2"/>
        <v>1879</v>
      </c>
      <c r="P39" s="15">
        <f t="shared" si="3"/>
        <v>3532</v>
      </c>
    </row>
    <row r="40" spans="1:16" x14ac:dyDescent="0.25">
      <c r="A40" s="81">
        <v>2006</v>
      </c>
      <c r="B40" s="21">
        <f>IF($B$2="Trawl",Indices!B10,Indices!C10)</f>
        <v>155964</v>
      </c>
      <c r="C40" s="22">
        <f t="shared" si="0"/>
        <v>1.2407439817982211</v>
      </c>
      <c r="D40" s="21"/>
      <c r="E40" s="82">
        <f t="shared" si="1"/>
        <v>3480.2868689440102</v>
      </c>
      <c r="F40" s="84">
        <f t="shared" si="6"/>
        <v>0.17692690804268088</v>
      </c>
      <c r="G40" s="82">
        <f t="shared" si="4"/>
        <v>3400.6613936134668</v>
      </c>
      <c r="H40" s="84">
        <f t="shared" si="5"/>
        <v>0.17692690804268088</v>
      </c>
      <c r="I40" s="85">
        <f t="shared" si="7"/>
        <v>0.14999999999999997</v>
      </c>
      <c r="L40" s="2"/>
      <c r="N40" s="18"/>
      <c r="O40" s="15">
        <f t="shared" si="2"/>
        <v>1879</v>
      </c>
      <c r="P40" s="15">
        <f t="shared" si="3"/>
        <v>3532</v>
      </c>
    </row>
    <row r="41" spans="1:16" x14ac:dyDescent="0.25">
      <c r="A41" s="81">
        <v>2007</v>
      </c>
      <c r="B41" s="21">
        <f>IF($B$2="Trawl",Indices!B11,Indices!C11)</f>
        <v>143903</v>
      </c>
      <c r="C41" s="22">
        <f t="shared" si="0"/>
        <v>1.1447948322222399</v>
      </c>
      <c r="D41" s="21"/>
      <c r="E41" s="82">
        <f t="shared" si="1"/>
        <v>3211.1495043833829</v>
      </c>
      <c r="F41" s="84">
        <f t="shared" si="6"/>
        <v>-7.7331948398348269E-2</v>
      </c>
      <c r="G41" s="82">
        <f t="shared" si="4"/>
        <v>3211.1495043833829</v>
      </c>
      <c r="H41" s="84">
        <f t="shared" si="5"/>
        <v>-5.5727950329307191E-2</v>
      </c>
      <c r="I41" s="85">
        <f t="shared" si="7"/>
        <v>-5.5727950329307191E-2</v>
      </c>
      <c r="L41" s="2"/>
      <c r="N41" s="18"/>
      <c r="O41" s="15">
        <f t="shared" si="2"/>
        <v>1879</v>
      </c>
      <c r="P41" s="15">
        <f t="shared" si="3"/>
        <v>3532</v>
      </c>
    </row>
    <row r="42" spans="1:16" x14ac:dyDescent="0.25">
      <c r="A42" s="81">
        <v>2008</v>
      </c>
      <c r="B42" s="21">
        <f>IF($B$2="Trawl",Indices!B12,Indices!C12)</f>
        <v>140247</v>
      </c>
      <c r="C42" s="22">
        <f t="shared" si="0"/>
        <v>1.1157101716758684</v>
      </c>
      <c r="D42" s="21"/>
      <c r="E42" s="82">
        <f t="shared" si="1"/>
        <v>3129.567031550811</v>
      </c>
      <c r="F42" s="84">
        <f t="shared" si="6"/>
        <v>-2.5406002654565826E-2</v>
      </c>
      <c r="G42" s="82">
        <f t="shared" si="4"/>
        <v>3129.567031550811</v>
      </c>
      <c r="H42" s="84">
        <f t="shared" si="5"/>
        <v>-2.5406002654565826E-2</v>
      </c>
      <c r="I42" s="85">
        <f t="shared" si="7"/>
        <v>-2.5406002654565826E-2</v>
      </c>
      <c r="L42" s="2"/>
      <c r="N42" s="18"/>
      <c r="O42" s="15">
        <f t="shared" si="2"/>
        <v>1879</v>
      </c>
      <c r="P42" s="15">
        <f t="shared" si="3"/>
        <v>3532</v>
      </c>
    </row>
    <row r="43" spans="1:16" x14ac:dyDescent="0.25">
      <c r="A43" s="81">
        <v>2009</v>
      </c>
      <c r="B43" s="21">
        <f>IF($B$2="Trawl",Indices!B13,Indices!C13)</f>
        <v>168102</v>
      </c>
      <c r="C43" s="22">
        <f t="shared" si="0"/>
        <v>1.3373056912380072</v>
      </c>
      <c r="D43" s="21"/>
      <c r="E43" s="82">
        <f t="shared" si="1"/>
        <v>3532</v>
      </c>
      <c r="F43" s="84">
        <f t="shared" si="6"/>
        <v>0.12859062112811473</v>
      </c>
      <c r="G43" s="82">
        <f t="shared" si="4"/>
        <v>3532</v>
      </c>
      <c r="H43" s="84">
        <f t="shared" si="5"/>
        <v>0.12859062112811473</v>
      </c>
      <c r="I43" s="85">
        <f t="shared" si="7"/>
        <v>0.12859062112811473</v>
      </c>
      <c r="L43" s="2"/>
      <c r="N43" s="18"/>
      <c r="O43" s="15">
        <f t="shared" si="2"/>
        <v>1879</v>
      </c>
      <c r="P43" s="15">
        <f t="shared" si="3"/>
        <v>3532</v>
      </c>
    </row>
    <row r="44" spans="1:16" x14ac:dyDescent="0.25">
      <c r="A44" s="81">
        <v>2010</v>
      </c>
      <c r="B44" s="21">
        <f>IF($B$2="Trawl",Indices!B14,Indices!C14)</f>
        <v>195535</v>
      </c>
      <c r="C44" s="22">
        <f t="shared" si="0"/>
        <v>1.5555440645335794</v>
      </c>
      <c r="D44" s="21"/>
      <c r="E44" s="82">
        <f t="shared" si="1"/>
        <v>3532</v>
      </c>
      <c r="F44" s="84">
        <f t="shared" si="6"/>
        <v>0</v>
      </c>
      <c r="G44" s="82">
        <f t="shared" si="4"/>
        <v>3532</v>
      </c>
      <c r="H44" s="84">
        <f t="shared" si="5"/>
        <v>0</v>
      </c>
      <c r="I44" s="85">
        <f t="shared" si="7"/>
        <v>0</v>
      </c>
      <c r="L44" s="2"/>
      <c r="N44" s="18"/>
      <c r="O44" s="15">
        <f t="shared" si="2"/>
        <v>1879</v>
      </c>
      <c r="P44" s="15">
        <f t="shared" si="3"/>
        <v>3532</v>
      </c>
    </row>
    <row r="45" spans="1:16" x14ac:dyDescent="0.25">
      <c r="A45" s="81">
        <v>2011</v>
      </c>
      <c r="B45" s="21">
        <f>IF($B$2="Trawl",Indices!B15,Indices!C15)</f>
        <v>186666</v>
      </c>
      <c r="C45" s="22">
        <f t="shared" si="0"/>
        <v>1.4849883056753275</v>
      </c>
      <c r="D45" s="21"/>
      <c r="E45" s="82">
        <f t="shared" si="1"/>
        <v>3532</v>
      </c>
      <c r="F45" s="84">
        <f t="shared" si="6"/>
        <v>0</v>
      </c>
      <c r="G45" s="82">
        <f t="shared" si="4"/>
        <v>3532</v>
      </c>
      <c r="H45" s="84">
        <f t="shared" si="5"/>
        <v>0</v>
      </c>
      <c r="I45" s="85">
        <f t="shared" si="7"/>
        <v>0</v>
      </c>
      <c r="L45" s="2"/>
      <c r="N45" s="18"/>
      <c r="O45" s="15">
        <f t="shared" si="2"/>
        <v>1879</v>
      </c>
      <c r="P45" s="15">
        <f t="shared" si="3"/>
        <v>3532</v>
      </c>
    </row>
    <row r="46" spans="1:16" x14ac:dyDescent="0.25">
      <c r="A46" s="81">
        <v>2012</v>
      </c>
      <c r="B46" s="21">
        <f>IF($B$2="Trawl",Indices!B16,Indices!C16)</f>
        <v>189000</v>
      </c>
      <c r="C46" s="22">
        <f t="shared" si="0"/>
        <v>1.5035560293392309</v>
      </c>
      <c r="D46" s="21"/>
      <c r="E46" s="82">
        <f t="shared" si="1"/>
        <v>3532</v>
      </c>
      <c r="F46" s="84">
        <f t="shared" si="6"/>
        <v>0</v>
      </c>
      <c r="G46" s="82">
        <f t="shared" si="4"/>
        <v>3532</v>
      </c>
      <c r="H46" s="84">
        <f t="shared" si="5"/>
        <v>0</v>
      </c>
      <c r="I46" s="85">
        <f t="shared" si="7"/>
        <v>0</v>
      </c>
      <c r="L46" s="2"/>
      <c r="N46" s="18"/>
      <c r="O46" s="15">
        <f t="shared" si="2"/>
        <v>1879</v>
      </c>
      <c r="P46" s="15">
        <f t="shared" si="3"/>
        <v>3532</v>
      </c>
    </row>
    <row r="47" spans="1:16" x14ac:dyDescent="0.25">
      <c r="A47" s="81">
        <v>2013</v>
      </c>
      <c r="B47" s="21">
        <f>IF($B$2="Trawl",Indices!B17,Indices!C17)</f>
        <v>183989</v>
      </c>
      <c r="C47" s="22">
        <f t="shared" si="0"/>
        <v>1.4636919062544749</v>
      </c>
      <c r="D47" s="21"/>
      <c r="E47" s="82">
        <f t="shared" si="1"/>
        <v>3532</v>
      </c>
      <c r="F47" s="84">
        <f t="shared" si="6"/>
        <v>0</v>
      </c>
      <c r="G47" s="82">
        <f t="shared" si="4"/>
        <v>3532</v>
      </c>
      <c r="H47" s="84">
        <f t="shared" si="5"/>
        <v>0</v>
      </c>
      <c r="I47" s="85">
        <f t="shared" si="7"/>
        <v>0</v>
      </c>
      <c r="L47" s="2"/>
      <c r="N47" s="18"/>
      <c r="O47" s="15">
        <f t="shared" si="2"/>
        <v>1879</v>
      </c>
      <c r="P47" s="15">
        <f t="shared" si="3"/>
        <v>3532</v>
      </c>
    </row>
    <row r="48" spans="1:16" x14ac:dyDescent="0.25">
      <c r="A48" s="81">
        <v>2014</v>
      </c>
      <c r="B48" s="21">
        <f>IF($B$2="Trawl",Indices!B18,Indices!C18)</f>
        <v>171427</v>
      </c>
      <c r="C48" s="22">
        <f t="shared" si="0"/>
        <v>1.3637571399023087</v>
      </c>
      <c r="D48" s="21"/>
      <c r="E48" s="82">
        <f t="shared" si="1"/>
        <v>3532</v>
      </c>
      <c r="F48" s="84">
        <f t="shared" si="6"/>
        <v>0</v>
      </c>
      <c r="G48" s="82">
        <f t="shared" si="4"/>
        <v>3532</v>
      </c>
      <c r="H48" s="84">
        <f t="shared" si="5"/>
        <v>0</v>
      </c>
      <c r="I48" s="85">
        <f t="shared" si="7"/>
        <v>0</v>
      </c>
      <c r="L48" s="2"/>
      <c r="N48" s="18"/>
      <c r="O48" s="15">
        <f t="shared" si="2"/>
        <v>1879</v>
      </c>
      <c r="P48" s="15">
        <f t="shared" si="3"/>
        <v>3532</v>
      </c>
    </row>
    <row r="49" spans="1:16" x14ac:dyDescent="0.25">
      <c r="A49" s="81">
        <v>2015</v>
      </c>
      <c r="B49" s="21">
        <f>IF($B$2="Trawl",Indices!B19,Indices!C19)</f>
        <v>172237</v>
      </c>
      <c r="C49" s="22">
        <f t="shared" si="0"/>
        <v>1.3702009514566196</v>
      </c>
      <c r="D49" s="21"/>
      <c r="E49" s="82">
        <f t="shared" si="1"/>
        <v>3532</v>
      </c>
      <c r="F49" s="84">
        <f t="shared" si="6"/>
        <v>0</v>
      </c>
      <c r="G49" s="82">
        <f t="shared" si="4"/>
        <v>3532</v>
      </c>
      <c r="H49" s="84">
        <f t="shared" si="5"/>
        <v>0</v>
      </c>
      <c r="I49" s="85">
        <f t="shared" si="7"/>
        <v>0</v>
      </c>
      <c r="L49" s="2"/>
      <c r="N49" s="18"/>
      <c r="O49" s="15">
        <f t="shared" si="2"/>
        <v>1879</v>
      </c>
      <c r="P49" s="15">
        <f t="shared" si="3"/>
        <v>3532</v>
      </c>
    </row>
    <row r="50" spans="1:16" x14ac:dyDescent="0.25">
      <c r="A50" s="81">
        <v>2016</v>
      </c>
      <c r="B50" s="21">
        <f>IF($B$2="Trawl",Indices!B20,Indices!C20)</f>
        <v>153704</v>
      </c>
      <c r="C50" s="22">
        <f t="shared" si="0"/>
        <v>1.2227649520294028</v>
      </c>
      <c r="D50" s="21"/>
      <c r="E50" s="82">
        <f t="shared" si="1"/>
        <v>3429.855690442475</v>
      </c>
      <c r="F50" s="84">
        <f t="shared" si="6"/>
        <v>-2.8919679942674137E-2</v>
      </c>
      <c r="G50" s="82">
        <f t="shared" si="4"/>
        <v>3429.855690442475</v>
      </c>
      <c r="H50" s="84">
        <f t="shared" si="5"/>
        <v>-2.8919679942674137E-2</v>
      </c>
      <c r="I50" s="85">
        <f t="shared" si="7"/>
        <v>-2.8919679942674137E-2</v>
      </c>
      <c r="L50" s="2"/>
      <c r="N50" s="18"/>
      <c r="O50" s="15">
        <f t="shared" si="2"/>
        <v>1879</v>
      </c>
      <c r="P50" s="15">
        <f t="shared" si="3"/>
        <v>3532</v>
      </c>
    </row>
    <row r="51" spans="1:16" x14ac:dyDescent="0.25">
      <c r="A51" s="81">
        <v>2017</v>
      </c>
      <c r="B51" s="21">
        <f>IF($B$2="Trawl",Indices!B21,Indices!C21)</f>
        <v>126684</v>
      </c>
      <c r="C51" s="22">
        <f t="shared" si="0"/>
        <v>1.0078121270942388</v>
      </c>
      <c r="D51" s="21"/>
      <c r="E51" s="82">
        <f t="shared" si="1"/>
        <v>2826.9130164993398</v>
      </c>
      <c r="F51" s="84">
        <f t="shared" si="6"/>
        <v>-0.17579243220735954</v>
      </c>
      <c r="G51" s="82">
        <f t="shared" si="4"/>
        <v>2915.3773368761035</v>
      </c>
      <c r="H51" s="84">
        <f t="shared" si="5"/>
        <v>-0.17579243220735954</v>
      </c>
      <c r="I51" s="85">
        <f t="shared" si="7"/>
        <v>-0.15000000000000005</v>
      </c>
      <c r="L51" s="2"/>
      <c r="N51" s="18"/>
      <c r="O51" s="15">
        <f t="shared" si="2"/>
        <v>1879</v>
      </c>
      <c r="P51" s="15">
        <f t="shared" si="3"/>
        <v>3532</v>
      </c>
    </row>
    <row r="52" spans="1:16" x14ac:dyDescent="0.25">
      <c r="A52" s="81">
        <v>2018</v>
      </c>
      <c r="B52" s="21">
        <f>IF($B$2="Trawl",Indices!B22,Indices!C22)</f>
        <v>125702</v>
      </c>
      <c r="C52" s="22">
        <f t="shared" si="0"/>
        <v>1</v>
      </c>
      <c r="D52" s="21"/>
      <c r="E52" s="82">
        <f t="shared" si="1"/>
        <v>2805</v>
      </c>
      <c r="F52" s="84">
        <f t="shared" si="6"/>
        <v>-7.7515708376748932E-3</v>
      </c>
      <c r="G52" s="82">
        <f t="shared" si="4"/>
        <v>2805</v>
      </c>
      <c r="H52" s="84">
        <f t="shared" si="5"/>
        <v>-3.7860394769472783E-2</v>
      </c>
      <c r="I52" s="85">
        <f t="shared" si="7"/>
        <v>-3.7860394769472783E-2</v>
      </c>
    </row>
    <row r="53" spans="1:16" x14ac:dyDescent="0.25">
      <c r="A53" s="81"/>
      <c r="B53" s="21"/>
      <c r="C53" s="21"/>
      <c r="D53" s="21"/>
      <c r="E53" s="21"/>
      <c r="F53" s="21"/>
      <c r="G53" s="21"/>
      <c r="H53" s="65"/>
      <c r="I53" s="83"/>
      <c r="L53" s="2"/>
      <c r="N53" s="18"/>
    </row>
    <row r="54" spans="1:16" ht="15.75" thickBot="1" x14ac:dyDescent="0.3">
      <c r="A54" s="86" t="s">
        <v>13</v>
      </c>
      <c r="B54" s="87">
        <v>100000</v>
      </c>
      <c r="C54" s="87">
        <f>B54/$D$12</f>
        <v>0.79553229065567777</v>
      </c>
      <c r="D54" s="87"/>
      <c r="E54" s="88">
        <f>MIN($G$3,MAX($H$3,(1-(1-C54)*1)*$F$3))</f>
        <v>2231.4680752891763</v>
      </c>
      <c r="F54" s="89">
        <f>(E54-E51)/E51</f>
        <v>-0.21063433424899741</v>
      </c>
      <c r="G54" s="88">
        <f>IF(ABS(H54)&gt;$H$8,G51*(1+SIGN(H54)*$H$8),E54)</f>
        <v>2478.0707363446882</v>
      </c>
      <c r="H54" s="89">
        <f>(E54-G51)/G51</f>
        <v>-0.23458687592040908</v>
      </c>
      <c r="I54" s="90">
        <f>(G54-G51)/G51</f>
        <v>-0.14999999999999994</v>
      </c>
      <c r="L54" s="2"/>
      <c r="N54" s="18"/>
    </row>
    <row r="55" spans="1:16" ht="15.75" thickBot="1" x14ac:dyDescent="0.3">
      <c r="F55"/>
      <c r="J55" s="2"/>
      <c r="K55" s="2"/>
      <c r="L55" s="2"/>
      <c r="N55" s="18"/>
    </row>
    <row r="56" spans="1:16" ht="15" customHeight="1" x14ac:dyDescent="0.25">
      <c r="A56" s="102" t="s">
        <v>68</v>
      </c>
      <c r="B56" s="103"/>
      <c r="C56" s="103"/>
      <c r="D56" s="103"/>
      <c r="E56" s="103"/>
      <c r="F56" s="103"/>
      <c r="G56" s="103"/>
      <c r="H56" s="103"/>
      <c r="I56" s="104"/>
      <c r="L56" s="2"/>
    </row>
    <row r="57" spans="1:16" ht="45" x14ac:dyDescent="0.25">
      <c r="A57" s="77" t="s">
        <v>0</v>
      </c>
      <c r="B57" s="78" t="s">
        <v>38</v>
      </c>
      <c r="C57" s="78" t="s">
        <v>7</v>
      </c>
      <c r="D57" s="78"/>
      <c r="E57" s="78" t="s">
        <v>27</v>
      </c>
      <c r="F57" s="79" t="s">
        <v>26</v>
      </c>
      <c r="G57" s="78" t="s">
        <v>40</v>
      </c>
      <c r="H57" s="79" t="s">
        <v>28</v>
      </c>
      <c r="I57" s="80" t="s">
        <v>29</v>
      </c>
      <c r="N57" s="17"/>
      <c r="O57" s="15" t="s">
        <v>6</v>
      </c>
      <c r="P57" s="15" t="s">
        <v>4</v>
      </c>
    </row>
    <row r="58" spans="1:16" x14ac:dyDescent="0.25">
      <c r="A58" s="81">
        <v>1998</v>
      </c>
      <c r="B58" s="21">
        <f>IF($B$3="Trawl",Indices!B2,Indices!C2)</f>
        <v>18502</v>
      </c>
      <c r="C58" s="22">
        <f>B58/D$13</f>
        <v>2.5909536479484667</v>
      </c>
      <c r="D58" s="21"/>
      <c r="E58" s="82">
        <f t="shared" ref="E58:E78" si="8">MIN($G$4,MAX($H$4,(1-(1-C58)*1)*$F$4))</f>
        <v>894</v>
      </c>
      <c r="F58" s="65"/>
      <c r="G58" s="82">
        <f>E58</f>
        <v>894</v>
      </c>
      <c r="H58" s="65"/>
      <c r="I58" s="83"/>
      <c r="N58" s="18"/>
      <c r="O58" s="15">
        <f>$H$4</f>
        <v>475</v>
      </c>
      <c r="P58" s="15">
        <f>$G$4</f>
        <v>894</v>
      </c>
    </row>
    <row r="59" spans="1:16" x14ac:dyDescent="0.25">
      <c r="A59" s="81">
        <v>1999</v>
      </c>
      <c r="B59" s="21">
        <f>IF($B$3="Trawl",Indices!B3,Indices!C3)</f>
        <v>16201</v>
      </c>
      <c r="C59" s="22">
        <f t="shared" ref="C59:C80" si="9">B59/D$13</f>
        <v>2.2687298697661391</v>
      </c>
      <c r="D59" s="21"/>
      <c r="E59" s="82">
        <f t="shared" si="8"/>
        <v>894</v>
      </c>
      <c r="F59" s="84">
        <f>(E59-E58)/E58</f>
        <v>0</v>
      </c>
      <c r="G59" s="82">
        <f t="shared" ref="G59:G78" si="10">IF(H59&gt;0,IF(ABS(H59)&gt;$H$8,G58*(1+SIGN(H59)*$H$8),E59),IF(ABS(H59)&gt;$H$9,G58*(1+SIGN(H59)*$H$9),E59))</f>
        <v>894</v>
      </c>
      <c r="H59" s="84">
        <f t="shared" ref="H59:H78" si="11">(E59-G58)/G58</f>
        <v>0</v>
      </c>
      <c r="I59" s="85">
        <f>(G59-G58)/G58</f>
        <v>0</v>
      </c>
      <c r="N59" s="18"/>
      <c r="O59" s="15">
        <f t="shared" ref="O59:O78" si="12">$H$4</f>
        <v>475</v>
      </c>
      <c r="P59" s="15">
        <f t="shared" ref="P59:P78" si="13">$G$4</f>
        <v>894</v>
      </c>
    </row>
    <row r="60" spans="1:16" x14ac:dyDescent="0.25">
      <c r="A60" s="81">
        <v>2000</v>
      </c>
      <c r="B60" s="21">
        <f>IF($B$3="Trawl",Indices!B4,Indices!C4)</f>
        <v>16203</v>
      </c>
      <c r="C60" s="22">
        <f t="shared" si="9"/>
        <v>2.2690099425850723</v>
      </c>
      <c r="D60" s="21"/>
      <c r="E60" s="82">
        <f t="shared" si="8"/>
        <v>894</v>
      </c>
      <c r="F60" s="84">
        <f t="shared" ref="F60:F78" si="14">(E60-E59)/E59</f>
        <v>0</v>
      </c>
      <c r="G60" s="82">
        <f t="shared" si="10"/>
        <v>894</v>
      </c>
      <c r="H60" s="84">
        <f t="shared" si="11"/>
        <v>0</v>
      </c>
      <c r="I60" s="85">
        <f>(G60-G59)/G59</f>
        <v>0</v>
      </c>
      <c r="N60" s="18"/>
      <c r="O60" s="15">
        <f t="shared" si="12"/>
        <v>475</v>
      </c>
      <c r="P60" s="15">
        <f t="shared" si="13"/>
        <v>894</v>
      </c>
    </row>
    <row r="61" spans="1:16" x14ac:dyDescent="0.25">
      <c r="A61" s="81">
        <v>2001</v>
      </c>
      <c r="B61" s="21">
        <f>IF($B$3="Trawl",Indices!B5,Indices!C5)</f>
        <v>13780</v>
      </c>
      <c r="C61" s="22">
        <f t="shared" si="9"/>
        <v>1.9297017224478363</v>
      </c>
      <c r="D61" s="21"/>
      <c r="E61" s="82">
        <f t="shared" si="8"/>
        <v>894</v>
      </c>
      <c r="F61" s="84">
        <f t="shared" si="14"/>
        <v>0</v>
      </c>
      <c r="G61" s="82">
        <f t="shared" si="10"/>
        <v>894</v>
      </c>
      <c r="H61" s="84">
        <f t="shared" si="11"/>
        <v>0</v>
      </c>
      <c r="I61" s="85">
        <f t="shared" ref="I61:I78" si="15">(G61-G60)/G60</f>
        <v>0</v>
      </c>
      <c r="N61" s="18"/>
      <c r="O61" s="15">
        <f t="shared" si="12"/>
        <v>475</v>
      </c>
      <c r="P61" s="15">
        <f t="shared" si="13"/>
        <v>894</v>
      </c>
    </row>
    <row r="62" spans="1:16" x14ac:dyDescent="0.25">
      <c r="A62" s="81">
        <v>2002</v>
      </c>
      <c r="B62" s="21">
        <f>IF($B$3="Trawl",Indices!B6,Indices!C6)</f>
        <v>12104</v>
      </c>
      <c r="C62" s="22">
        <f t="shared" si="9"/>
        <v>1.6950007001820473</v>
      </c>
      <c r="D62" s="21"/>
      <c r="E62" s="82">
        <f t="shared" si="8"/>
        <v>894</v>
      </c>
      <c r="F62" s="84">
        <f t="shared" si="14"/>
        <v>0</v>
      </c>
      <c r="G62" s="82">
        <f t="shared" si="10"/>
        <v>894</v>
      </c>
      <c r="H62" s="84">
        <f t="shared" si="11"/>
        <v>0</v>
      </c>
      <c r="I62" s="85">
        <f t="shared" si="15"/>
        <v>0</v>
      </c>
      <c r="N62" s="18"/>
      <c r="O62" s="15">
        <f t="shared" si="12"/>
        <v>475</v>
      </c>
      <c r="P62" s="15">
        <f t="shared" si="13"/>
        <v>894</v>
      </c>
    </row>
    <row r="63" spans="1:16" x14ac:dyDescent="0.25">
      <c r="A63" s="81">
        <v>2003</v>
      </c>
      <c r="B63" s="21">
        <f>IF($B$3="Trawl",Indices!B7,Indices!C7)</f>
        <v>10866</v>
      </c>
      <c r="C63" s="22">
        <f t="shared" si="9"/>
        <v>1.5216356252625682</v>
      </c>
      <c r="D63" s="21"/>
      <c r="E63" s="82">
        <f t="shared" si="8"/>
        <v>894</v>
      </c>
      <c r="F63" s="84">
        <f t="shared" si="14"/>
        <v>0</v>
      </c>
      <c r="G63" s="82">
        <f t="shared" si="10"/>
        <v>894</v>
      </c>
      <c r="H63" s="84">
        <f t="shared" si="11"/>
        <v>0</v>
      </c>
      <c r="I63" s="85">
        <f t="shared" si="15"/>
        <v>0</v>
      </c>
      <c r="N63" s="18"/>
      <c r="O63" s="15">
        <f t="shared" si="12"/>
        <v>475</v>
      </c>
      <c r="P63" s="15">
        <f t="shared" si="13"/>
        <v>894</v>
      </c>
    </row>
    <row r="64" spans="1:16" x14ac:dyDescent="0.25">
      <c r="A64" s="81">
        <v>2004</v>
      </c>
      <c r="B64" s="21">
        <f>IF($B$3="Trawl",Indices!B8,Indices!C8)</f>
        <v>9987</v>
      </c>
      <c r="C64" s="22">
        <f t="shared" si="9"/>
        <v>1.3985436213415487</v>
      </c>
      <c r="D64" s="21"/>
      <c r="E64" s="82">
        <f t="shared" si="8"/>
        <v>894</v>
      </c>
      <c r="F64" s="84">
        <f t="shared" si="14"/>
        <v>0</v>
      </c>
      <c r="G64" s="82">
        <f t="shared" si="10"/>
        <v>894</v>
      </c>
      <c r="H64" s="84">
        <f t="shared" si="11"/>
        <v>0</v>
      </c>
      <c r="I64" s="85">
        <f t="shared" si="15"/>
        <v>0</v>
      </c>
      <c r="N64" s="18"/>
      <c r="O64" s="15">
        <f t="shared" si="12"/>
        <v>475</v>
      </c>
      <c r="P64" s="15">
        <f t="shared" si="13"/>
        <v>894</v>
      </c>
    </row>
    <row r="65" spans="1:16" x14ac:dyDescent="0.25">
      <c r="A65" s="81">
        <v>2005</v>
      </c>
      <c r="B65" s="21">
        <f>IF($B$3="Trawl",Indices!B9,Indices!C9)</f>
        <v>9550</v>
      </c>
      <c r="C65" s="22">
        <f t="shared" si="9"/>
        <v>1.3373477104047051</v>
      </c>
      <c r="D65" s="21"/>
      <c r="E65" s="82">
        <f t="shared" si="8"/>
        <v>894</v>
      </c>
      <c r="F65" s="84">
        <f t="shared" si="14"/>
        <v>0</v>
      </c>
      <c r="G65" s="82">
        <f t="shared" si="10"/>
        <v>894</v>
      </c>
      <c r="H65" s="84">
        <f t="shared" si="11"/>
        <v>0</v>
      </c>
      <c r="I65" s="85">
        <f t="shared" si="15"/>
        <v>0</v>
      </c>
      <c r="N65" s="18"/>
      <c r="O65" s="15">
        <f t="shared" si="12"/>
        <v>475</v>
      </c>
      <c r="P65" s="15">
        <f t="shared" si="13"/>
        <v>894</v>
      </c>
    </row>
    <row r="66" spans="1:16" x14ac:dyDescent="0.25">
      <c r="A66" s="81">
        <v>2006</v>
      </c>
      <c r="B66" s="21">
        <f>IF($B$3="Trawl",Indices!B10,Indices!C10)</f>
        <v>9802</v>
      </c>
      <c r="C66" s="22">
        <f t="shared" si="9"/>
        <v>1.3726368855902535</v>
      </c>
      <c r="D66" s="21"/>
      <c r="E66" s="82">
        <f t="shared" si="8"/>
        <v>894</v>
      </c>
      <c r="F66" s="84">
        <f t="shared" si="14"/>
        <v>0</v>
      </c>
      <c r="G66" s="82">
        <f t="shared" si="10"/>
        <v>894</v>
      </c>
      <c r="H66" s="84">
        <f t="shared" si="11"/>
        <v>0</v>
      </c>
      <c r="I66" s="85">
        <f t="shared" si="15"/>
        <v>0</v>
      </c>
      <c r="N66" s="18"/>
      <c r="O66" s="15">
        <f t="shared" si="12"/>
        <v>475</v>
      </c>
      <c r="P66" s="15">
        <f t="shared" si="13"/>
        <v>894</v>
      </c>
    </row>
    <row r="67" spans="1:16" x14ac:dyDescent="0.25">
      <c r="A67" s="81">
        <v>2007</v>
      </c>
      <c r="B67" s="21">
        <f>IF($B$3="Trawl",Indices!B11,Indices!C11)</f>
        <v>9673</v>
      </c>
      <c r="C67" s="22">
        <f t="shared" si="9"/>
        <v>1.35457218876908</v>
      </c>
      <c r="D67" s="21"/>
      <c r="E67" s="82">
        <f t="shared" si="8"/>
        <v>894</v>
      </c>
      <c r="F67" s="84">
        <f t="shared" si="14"/>
        <v>0</v>
      </c>
      <c r="G67" s="82">
        <f t="shared" si="10"/>
        <v>894</v>
      </c>
      <c r="H67" s="84">
        <f t="shared" si="11"/>
        <v>0</v>
      </c>
      <c r="I67" s="85">
        <f t="shared" si="15"/>
        <v>0</v>
      </c>
      <c r="N67" s="18"/>
      <c r="O67" s="15">
        <f t="shared" si="12"/>
        <v>475</v>
      </c>
      <c r="P67" s="15">
        <f t="shared" si="13"/>
        <v>894</v>
      </c>
    </row>
    <row r="68" spans="1:16" x14ac:dyDescent="0.25">
      <c r="A68" s="81">
        <v>2008</v>
      </c>
      <c r="B68" s="21">
        <f>IF($B$3="Trawl",Indices!B12,Indices!C12)</f>
        <v>10264</v>
      </c>
      <c r="C68" s="22">
        <f t="shared" si="9"/>
        <v>1.4373337067637586</v>
      </c>
      <c r="D68" s="21"/>
      <c r="E68" s="82">
        <f t="shared" si="8"/>
        <v>894</v>
      </c>
      <c r="F68" s="84">
        <f t="shared" si="14"/>
        <v>0</v>
      </c>
      <c r="G68" s="82">
        <f t="shared" si="10"/>
        <v>894</v>
      </c>
      <c r="H68" s="84">
        <f t="shared" si="11"/>
        <v>0</v>
      </c>
      <c r="I68" s="85">
        <f t="shared" si="15"/>
        <v>0</v>
      </c>
      <c r="N68" s="18"/>
      <c r="O68" s="15">
        <f t="shared" si="12"/>
        <v>475</v>
      </c>
      <c r="P68" s="15">
        <f t="shared" si="13"/>
        <v>894</v>
      </c>
    </row>
    <row r="69" spans="1:16" x14ac:dyDescent="0.25">
      <c r="A69" s="81">
        <v>2009</v>
      </c>
      <c r="B69" s="21">
        <f>IF($B$3="Trawl",Indices!B13,Indices!C13)</f>
        <v>9834</v>
      </c>
      <c r="C69" s="22">
        <f t="shared" si="9"/>
        <v>1.3771180506931802</v>
      </c>
      <c r="D69" s="21"/>
      <c r="E69" s="82">
        <f t="shared" si="8"/>
        <v>894</v>
      </c>
      <c r="F69" s="84">
        <f t="shared" si="14"/>
        <v>0</v>
      </c>
      <c r="G69" s="82">
        <f t="shared" si="10"/>
        <v>894</v>
      </c>
      <c r="H69" s="84">
        <f t="shared" si="11"/>
        <v>0</v>
      </c>
      <c r="I69" s="85">
        <f t="shared" si="15"/>
        <v>0</v>
      </c>
      <c r="N69" s="18"/>
      <c r="O69" s="15">
        <f t="shared" si="12"/>
        <v>475</v>
      </c>
      <c r="P69" s="15">
        <f t="shared" si="13"/>
        <v>894</v>
      </c>
    </row>
    <row r="70" spans="1:16" x14ac:dyDescent="0.25">
      <c r="A70" s="81">
        <v>2010</v>
      </c>
      <c r="B70" s="21">
        <f>IF($B$3="Trawl",Indices!B14,Indices!C14)</f>
        <v>9146</v>
      </c>
      <c r="C70" s="22">
        <f t="shared" si="9"/>
        <v>1.2807730009802549</v>
      </c>
      <c r="D70" s="21"/>
      <c r="E70" s="82">
        <f t="shared" si="8"/>
        <v>894</v>
      </c>
      <c r="F70" s="84">
        <f t="shared" si="14"/>
        <v>0</v>
      </c>
      <c r="G70" s="82">
        <f t="shared" si="10"/>
        <v>894</v>
      </c>
      <c r="H70" s="84">
        <f t="shared" si="11"/>
        <v>0</v>
      </c>
      <c r="I70" s="85">
        <f t="shared" si="15"/>
        <v>0</v>
      </c>
      <c r="N70" s="18"/>
      <c r="O70" s="15">
        <f t="shared" si="12"/>
        <v>475</v>
      </c>
      <c r="P70" s="15">
        <f t="shared" si="13"/>
        <v>894</v>
      </c>
    </row>
    <row r="71" spans="1:16" x14ac:dyDescent="0.25">
      <c r="A71" s="81">
        <v>2011</v>
      </c>
      <c r="B71" s="21">
        <f>IF($B$3="Trawl",Indices!B15,Indices!C15)</f>
        <v>8669</v>
      </c>
      <c r="C71" s="22">
        <f t="shared" si="9"/>
        <v>1.2139756336647529</v>
      </c>
      <c r="D71" s="21"/>
      <c r="E71" s="82">
        <f t="shared" si="8"/>
        <v>861.92269990197462</v>
      </c>
      <c r="F71" s="84">
        <f t="shared" si="14"/>
        <v>-3.5880648879223015E-2</v>
      </c>
      <c r="G71" s="82">
        <f t="shared" si="10"/>
        <v>861.92269990197462</v>
      </c>
      <c r="H71" s="84">
        <f t="shared" si="11"/>
        <v>-3.5880648879223015E-2</v>
      </c>
      <c r="I71" s="85">
        <f t="shared" si="15"/>
        <v>-3.5880648879223015E-2</v>
      </c>
      <c r="N71" s="18"/>
      <c r="O71" s="15">
        <f t="shared" si="12"/>
        <v>475</v>
      </c>
      <c r="P71" s="15">
        <f t="shared" si="13"/>
        <v>894</v>
      </c>
    </row>
    <row r="72" spans="1:16" x14ac:dyDescent="0.25">
      <c r="A72" s="81">
        <v>2012</v>
      </c>
      <c r="B72" s="21">
        <f>IF($B$3="Trawl",Indices!B16,Indices!C16)</f>
        <v>8403</v>
      </c>
      <c r="C72" s="22">
        <f t="shared" si="9"/>
        <v>1.1767259487466741</v>
      </c>
      <c r="D72" s="21"/>
      <c r="E72" s="82">
        <f t="shared" si="8"/>
        <v>835.47542361013859</v>
      </c>
      <c r="F72" s="84">
        <f t="shared" si="14"/>
        <v>-3.0684046602837873E-2</v>
      </c>
      <c r="G72" s="82">
        <f t="shared" si="10"/>
        <v>835.47542361013859</v>
      </c>
      <c r="H72" s="84">
        <f t="shared" si="11"/>
        <v>-3.0684046602837873E-2</v>
      </c>
      <c r="I72" s="85">
        <f t="shared" si="15"/>
        <v>-3.0684046602837873E-2</v>
      </c>
      <c r="N72" s="18"/>
      <c r="O72" s="15">
        <f t="shared" si="12"/>
        <v>475</v>
      </c>
      <c r="P72" s="15">
        <f t="shared" si="13"/>
        <v>894</v>
      </c>
    </row>
    <row r="73" spans="1:16" x14ac:dyDescent="0.25">
      <c r="A73" s="81">
        <v>2013</v>
      </c>
      <c r="B73" s="21">
        <f>IF($B$3="Trawl",Indices!B17,Indices!C17)</f>
        <v>7989</v>
      </c>
      <c r="C73" s="22">
        <f t="shared" si="9"/>
        <v>1.1187508752275592</v>
      </c>
      <c r="D73" s="21"/>
      <c r="E73" s="82">
        <f t="shared" si="8"/>
        <v>794.31312141156707</v>
      </c>
      <c r="F73" s="84">
        <f t="shared" si="14"/>
        <v>-4.9268118529096627E-2</v>
      </c>
      <c r="G73" s="82">
        <f t="shared" si="10"/>
        <v>794.31312141156707</v>
      </c>
      <c r="H73" s="84">
        <f t="shared" si="11"/>
        <v>-4.9268118529096627E-2</v>
      </c>
      <c r="I73" s="85">
        <f t="shared" si="15"/>
        <v>-4.9268118529096627E-2</v>
      </c>
      <c r="N73" s="18"/>
      <c r="O73" s="15">
        <f t="shared" si="12"/>
        <v>475</v>
      </c>
      <c r="P73" s="15">
        <f t="shared" si="13"/>
        <v>894</v>
      </c>
    </row>
    <row r="74" spans="1:16" x14ac:dyDescent="0.25">
      <c r="A74" s="81">
        <v>2014</v>
      </c>
      <c r="B74" s="21">
        <f>IF($B$3="Trawl",Indices!B18,Indices!C18)</f>
        <v>7995</v>
      </c>
      <c r="C74" s="22">
        <f t="shared" si="9"/>
        <v>1.1195910936843578</v>
      </c>
      <c r="D74" s="21"/>
      <c r="E74" s="82">
        <f t="shared" si="8"/>
        <v>794.90967651589403</v>
      </c>
      <c r="F74" s="84">
        <f t="shared" si="14"/>
        <v>7.5103266992094251E-4</v>
      </c>
      <c r="G74" s="82">
        <f t="shared" si="10"/>
        <v>794.90967651589403</v>
      </c>
      <c r="H74" s="84">
        <f t="shared" si="11"/>
        <v>7.5103266992094251E-4</v>
      </c>
      <c r="I74" s="85">
        <f t="shared" si="15"/>
        <v>7.5103266992094251E-4</v>
      </c>
      <c r="N74" s="18"/>
      <c r="O74" s="15">
        <f t="shared" si="12"/>
        <v>475</v>
      </c>
      <c r="P74" s="15">
        <f t="shared" si="13"/>
        <v>894</v>
      </c>
    </row>
    <row r="75" spans="1:16" x14ac:dyDescent="0.25">
      <c r="A75" s="81">
        <v>2015</v>
      </c>
      <c r="B75" s="21">
        <f>IF($B$3="Trawl",Indices!B19,Indices!C19)</f>
        <v>8130</v>
      </c>
      <c r="C75" s="22">
        <f t="shared" si="9"/>
        <v>1.1384960089623302</v>
      </c>
      <c r="D75" s="21"/>
      <c r="E75" s="82">
        <f t="shared" si="8"/>
        <v>808.33216636325437</v>
      </c>
      <c r="F75" s="84">
        <f t="shared" si="14"/>
        <v>1.6885553470919357E-2</v>
      </c>
      <c r="G75" s="82">
        <f t="shared" si="10"/>
        <v>808.33216636325437</v>
      </c>
      <c r="H75" s="84">
        <f t="shared" si="11"/>
        <v>1.6885553470919357E-2</v>
      </c>
      <c r="I75" s="85">
        <f t="shared" si="15"/>
        <v>1.6885553470919357E-2</v>
      </c>
      <c r="N75" s="18"/>
      <c r="O75" s="15">
        <f t="shared" si="12"/>
        <v>475</v>
      </c>
      <c r="P75" s="15">
        <f t="shared" si="13"/>
        <v>894</v>
      </c>
    </row>
    <row r="76" spans="1:16" x14ac:dyDescent="0.25">
      <c r="A76" s="81">
        <v>2016</v>
      </c>
      <c r="B76" s="21">
        <f>IF($B$3="Trawl",Indices!B20,Indices!C20)</f>
        <v>7826</v>
      </c>
      <c r="C76" s="22">
        <f t="shared" si="9"/>
        <v>1.0959249404845259</v>
      </c>
      <c r="D76" s="21"/>
      <c r="E76" s="82">
        <f t="shared" si="8"/>
        <v>778.10670774401342</v>
      </c>
      <c r="F76" s="84">
        <f t="shared" si="14"/>
        <v>-3.7392373923739182E-2</v>
      </c>
      <c r="G76" s="82">
        <f t="shared" si="10"/>
        <v>778.10670774401342</v>
      </c>
      <c r="H76" s="84">
        <f t="shared" si="11"/>
        <v>-3.7392373923739182E-2</v>
      </c>
      <c r="I76" s="85">
        <f t="shared" si="15"/>
        <v>-3.7392373923739182E-2</v>
      </c>
      <c r="N76" s="18"/>
      <c r="O76" s="15">
        <f t="shared" si="12"/>
        <v>475</v>
      </c>
      <c r="P76" s="15">
        <f t="shared" si="13"/>
        <v>894</v>
      </c>
    </row>
    <row r="77" spans="1:16" x14ac:dyDescent="0.25">
      <c r="A77" s="81">
        <v>2017</v>
      </c>
      <c r="B77" s="21">
        <f>IF($B$3="Trawl",Indices!B21,Indices!C21)</f>
        <v>7250</v>
      </c>
      <c r="C77" s="22">
        <f t="shared" si="9"/>
        <v>1.0152639686318443</v>
      </c>
      <c r="D77" s="21"/>
      <c r="E77" s="82">
        <f t="shared" si="8"/>
        <v>720.83741772860947</v>
      </c>
      <c r="F77" s="84">
        <f t="shared" si="14"/>
        <v>-7.3600817786864239E-2</v>
      </c>
      <c r="G77" s="82">
        <f t="shared" si="10"/>
        <v>720.83741772860947</v>
      </c>
      <c r="H77" s="84">
        <f t="shared" si="11"/>
        <v>-7.3600817786864239E-2</v>
      </c>
      <c r="I77" s="85">
        <f t="shared" si="15"/>
        <v>-7.3600817786864239E-2</v>
      </c>
      <c r="N77" s="18"/>
      <c r="O77" s="15">
        <f t="shared" si="12"/>
        <v>475</v>
      </c>
      <c r="P77" s="15">
        <f t="shared" si="13"/>
        <v>894</v>
      </c>
    </row>
    <row r="78" spans="1:16" x14ac:dyDescent="0.25">
      <c r="A78" s="81">
        <v>2018</v>
      </c>
      <c r="B78" s="21">
        <f>IF($B$3="Trawl",Indices!B22,Indices!C22)</f>
        <v>7141</v>
      </c>
      <c r="C78" s="22">
        <f t="shared" si="9"/>
        <v>1</v>
      </c>
      <c r="D78" s="21"/>
      <c r="E78" s="82">
        <f t="shared" si="8"/>
        <v>710</v>
      </c>
      <c r="F78" s="84">
        <f t="shared" si="14"/>
        <v>-1.5034482758620727E-2</v>
      </c>
      <c r="G78" s="82">
        <f t="shared" si="10"/>
        <v>710</v>
      </c>
      <c r="H78" s="84">
        <f t="shared" si="11"/>
        <v>-1.5034482758620727E-2</v>
      </c>
      <c r="I78" s="85">
        <f t="shared" si="15"/>
        <v>-1.5034482758620727E-2</v>
      </c>
      <c r="O78" s="15">
        <f t="shared" si="12"/>
        <v>475</v>
      </c>
      <c r="P78" s="15">
        <f t="shared" si="13"/>
        <v>894</v>
      </c>
    </row>
    <row r="79" spans="1:16" x14ac:dyDescent="0.25">
      <c r="A79" s="81"/>
      <c r="B79" s="21"/>
      <c r="C79" s="21"/>
      <c r="D79" s="21"/>
      <c r="E79" s="21"/>
      <c r="F79" s="21"/>
      <c r="G79" s="21"/>
      <c r="H79" s="65"/>
      <c r="I79" s="83"/>
      <c r="N79" s="18"/>
      <c r="O79" s="15"/>
      <c r="P79" s="15"/>
    </row>
    <row r="80" spans="1:16" ht="15.75" thickBot="1" x14ac:dyDescent="0.3">
      <c r="A80" s="86" t="s">
        <v>13</v>
      </c>
      <c r="B80" s="87">
        <v>9000</v>
      </c>
      <c r="C80" s="91">
        <f t="shared" si="9"/>
        <v>1.2603276851981515</v>
      </c>
      <c r="D80" s="87"/>
      <c r="E80" s="88">
        <f>MIN($G$4,MAX($H$4,(1-(1-C80)*1)*$F$4))</f>
        <v>894</v>
      </c>
      <c r="F80" s="89">
        <f>(E80-E77)/E77</f>
        <v>0.2402241864983001</v>
      </c>
      <c r="G80" s="88">
        <f>IF(ABS(H80)&gt;$H$8,G77*(1+SIGN(H80)*$H$8),E80)</f>
        <v>828.96303038790086</v>
      </c>
      <c r="H80" s="89">
        <f>(E80-G77)/G77</f>
        <v>0.2402241864983001</v>
      </c>
      <c r="I80" s="90">
        <f>(G80-G77)/G77</f>
        <v>0.14999999999999997</v>
      </c>
      <c r="N80" s="18"/>
      <c r="O80" s="15"/>
      <c r="P80" s="15"/>
    </row>
  </sheetData>
  <mergeCells count="4">
    <mergeCell ref="A6:B6"/>
    <mergeCell ref="D7:E7"/>
    <mergeCell ref="G7:H7"/>
    <mergeCell ref="A10:C10"/>
  </mergeCells>
  <conditionalFormatting sqref="AB33:BC51 Q57:AZ60 R55:BC56 AB53:BC54 O81:AZ94 Q62:AZ80">
    <cfRule type="colorScale" priority="7">
      <colorScale>
        <cfvo type="min"/>
        <cfvo type="percentile" val="50"/>
        <cfvo type="max"/>
        <color rgb="FFF8696B"/>
        <color rgb="FFFFEB84"/>
        <color rgb="FF63BE7B"/>
      </colorScale>
    </cfRule>
  </conditionalFormatting>
  <conditionalFormatting sqref="E32:E52 E54">
    <cfRule type="expression" dxfId="49" priority="8">
      <formula>E32&lt;=$H$3</formula>
    </cfRule>
    <cfRule type="expression" dxfId="48" priority="9">
      <formula>E32&gt;=$G$3</formula>
    </cfRule>
  </conditionalFormatting>
  <conditionalFormatting sqref="E58:E78 E80">
    <cfRule type="expression" dxfId="47" priority="5">
      <formula>E58&lt;=$H$4</formula>
    </cfRule>
    <cfRule type="expression" dxfId="46" priority="6">
      <formula>E58&gt;=$G$4</formula>
    </cfRule>
  </conditionalFormatting>
  <conditionalFormatting sqref="G54 G32:G52">
    <cfRule type="expression" dxfId="45" priority="3">
      <formula>G32&lt;=$H$3</formula>
    </cfRule>
    <cfRule type="expression" dxfId="44" priority="4">
      <formula>G32&gt;=$G$3</formula>
    </cfRule>
  </conditionalFormatting>
  <conditionalFormatting sqref="G58:G78 G80">
    <cfRule type="expression" dxfId="43" priority="1">
      <formula>G58&lt;=$H$4</formula>
    </cfRule>
    <cfRule type="expression" dxfId="42" priority="2">
      <formula>G58&gt;=$G$4</formula>
    </cfRule>
  </conditionalFormatting>
  <pageMargins left="0.7" right="0.7" top="0.75" bottom="0.75" header="0.3" footer="0.3"/>
  <pageSetup orientation="portrait" horizontalDpi="0"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80"/>
  <sheetViews>
    <sheetView topLeftCell="A24" zoomScale="90" zoomScaleNormal="90" workbookViewId="0">
      <selection activeCell="K9" sqref="K9"/>
    </sheetView>
  </sheetViews>
  <sheetFormatPr defaultRowHeight="15" x14ac:dyDescent="0.25"/>
  <cols>
    <col min="1" max="1" width="14.28515625" style="3" customWidth="1"/>
    <col min="2" max="8" width="14.28515625" style="2" customWidth="1"/>
    <col min="9" max="9" width="12.28515625" style="2" customWidth="1"/>
    <col min="10" max="10" width="11" customWidth="1"/>
    <col min="11" max="11" width="13.28515625" customWidth="1"/>
    <col min="12" max="12" width="16.28515625" customWidth="1"/>
  </cols>
  <sheetData>
    <row r="1" spans="1:11" x14ac:dyDescent="0.25">
      <c r="A1" s="66" t="s">
        <v>50</v>
      </c>
      <c r="B1" s="63" t="s">
        <v>23</v>
      </c>
      <c r="C1" s="64" t="s">
        <v>66</v>
      </c>
      <c r="E1" s="107"/>
      <c r="F1" s="46" t="s">
        <v>1</v>
      </c>
      <c r="G1" s="46" t="s">
        <v>3</v>
      </c>
      <c r="H1" s="108" t="s">
        <v>5</v>
      </c>
    </row>
    <row r="2" spans="1:11" x14ac:dyDescent="0.25">
      <c r="A2" s="67" t="s">
        <v>20</v>
      </c>
      <c r="B2" s="96" t="s">
        <v>21</v>
      </c>
      <c r="C2" s="100" t="s">
        <v>54</v>
      </c>
      <c r="E2" s="43" t="s">
        <v>64</v>
      </c>
      <c r="F2" s="39" t="s">
        <v>2</v>
      </c>
      <c r="G2" s="39" t="s">
        <v>4</v>
      </c>
      <c r="H2" s="42" t="s">
        <v>6</v>
      </c>
    </row>
    <row r="3" spans="1:11" x14ac:dyDescent="0.25">
      <c r="A3" s="68" t="s">
        <v>49</v>
      </c>
      <c r="B3" s="98" t="s">
        <v>21</v>
      </c>
      <c r="C3" s="101" t="s">
        <v>54</v>
      </c>
      <c r="E3" s="44" t="s">
        <v>20</v>
      </c>
      <c r="F3" s="40">
        <v>1610</v>
      </c>
      <c r="G3" s="40">
        <v>2805</v>
      </c>
      <c r="H3" s="35">
        <v>798</v>
      </c>
    </row>
    <row r="4" spans="1:11" x14ac:dyDescent="0.25">
      <c r="A4" s="10"/>
      <c r="B4"/>
      <c r="C4"/>
      <c r="E4" s="45" t="s">
        <v>49</v>
      </c>
      <c r="F4" s="41">
        <v>408</v>
      </c>
      <c r="G4" s="40">
        <v>710</v>
      </c>
      <c r="H4" s="35">
        <v>202</v>
      </c>
      <c r="I4"/>
    </row>
    <row r="5" spans="1:11" x14ac:dyDescent="0.25">
      <c r="A5"/>
      <c r="B5"/>
      <c r="C5"/>
      <c r="D5"/>
      <c r="E5" s="70" t="s">
        <v>58</v>
      </c>
      <c r="F5" s="50">
        <f>SUM(F3:F4)</f>
        <v>2018</v>
      </c>
      <c r="G5" s="51">
        <f>SUM(G3:G4)</f>
        <v>3515</v>
      </c>
      <c r="H5" s="52">
        <f>SUM(H3:H4)</f>
        <v>1000</v>
      </c>
      <c r="I5"/>
    </row>
    <row r="6" spans="1:11" x14ac:dyDescent="0.25">
      <c r="A6" s="177" t="s">
        <v>16</v>
      </c>
      <c r="B6" s="178"/>
      <c r="C6"/>
      <c r="D6"/>
      <c r="E6"/>
      <c r="F6"/>
      <c r="G6"/>
      <c r="H6"/>
      <c r="I6"/>
      <c r="J6" s="3"/>
      <c r="K6" s="2"/>
    </row>
    <row r="7" spans="1:11" x14ac:dyDescent="0.25">
      <c r="A7" s="71" t="s">
        <v>9</v>
      </c>
      <c r="B7" s="35">
        <v>1</v>
      </c>
      <c r="C7"/>
      <c r="D7" s="177" t="s">
        <v>17</v>
      </c>
      <c r="E7" s="178"/>
      <c r="F7"/>
      <c r="G7" s="179" t="s">
        <v>63</v>
      </c>
      <c r="H7" s="180"/>
      <c r="I7"/>
      <c r="J7" s="3"/>
      <c r="K7" s="2"/>
    </row>
    <row r="8" spans="1:11" x14ac:dyDescent="0.25">
      <c r="A8" s="72" t="s">
        <v>10</v>
      </c>
      <c r="B8" s="59"/>
      <c r="C8"/>
      <c r="D8" s="94" t="s">
        <v>61</v>
      </c>
      <c r="E8" s="35">
        <v>1</v>
      </c>
      <c r="F8"/>
      <c r="G8" s="73" t="s">
        <v>59</v>
      </c>
      <c r="H8" s="75">
        <v>0.15</v>
      </c>
      <c r="I8"/>
      <c r="J8" s="3"/>
      <c r="K8" s="2"/>
    </row>
    <row r="9" spans="1:11" x14ac:dyDescent="0.25">
      <c r="A9"/>
      <c r="B9"/>
      <c r="C9"/>
      <c r="D9" s="95" t="s">
        <v>62</v>
      </c>
      <c r="E9" s="36">
        <v>0.5</v>
      </c>
      <c r="F9"/>
      <c r="G9" s="74" t="s">
        <v>60</v>
      </c>
      <c r="H9" s="76">
        <v>0.15</v>
      </c>
      <c r="I9"/>
      <c r="J9" s="3"/>
      <c r="K9" s="3"/>
    </row>
    <row r="10" spans="1:11" ht="15" customHeight="1" x14ac:dyDescent="0.25">
      <c r="A10" s="172" t="s">
        <v>65</v>
      </c>
      <c r="B10" s="173"/>
      <c r="C10" s="174"/>
      <c r="I10"/>
    </row>
    <row r="11" spans="1:11" x14ac:dyDescent="0.25">
      <c r="A11" s="55"/>
      <c r="B11" s="56" t="s">
        <v>18</v>
      </c>
      <c r="C11" s="57" t="s">
        <v>19</v>
      </c>
    </row>
    <row r="12" spans="1:11" ht="15" customHeight="1" x14ac:dyDescent="0.25">
      <c r="A12" s="53" t="s">
        <v>20</v>
      </c>
      <c r="B12" s="40">
        <v>2018</v>
      </c>
      <c r="C12" s="58"/>
      <c r="D12" s="11">
        <f>VLOOKUP(B12,A32:D52,2)</f>
        <v>7141</v>
      </c>
      <c r="E12" s="11" t="e">
        <f>IF(C12="Mean",AVERAGE(D32:D52),VLOOKUP(C12,A32:D52,4))</f>
        <v>#N/A</v>
      </c>
      <c r="G12"/>
      <c r="H12"/>
      <c r="I12"/>
    </row>
    <row r="13" spans="1:11" x14ac:dyDescent="0.25">
      <c r="A13" s="54" t="s">
        <v>49</v>
      </c>
      <c r="B13" s="41">
        <v>2018</v>
      </c>
      <c r="C13" s="59"/>
      <c r="D13" s="11">
        <f>VLOOKUP(B13,A58:D78,2)</f>
        <v>7141</v>
      </c>
      <c r="E13" s="11" t="e">
        <f>IF(C13="Mean",AVERAGE(D58:D78),VLOOKUP(C13,A58:D78,4))</f>
        <v>#N/A</v>
      </c>
      <c r="G13"/>
      <c r="H13"/>
      <c r="I13"/>
    </row>
    <row r="14" spans="1:11" x14ac:dyDescent="0.25">
      <c r="A14"/>
      <c r="B14"/>
      <c r="C14"/>
      <c r="D14"/>
      <c r="E14"/>
      <c r="F14"/>
      <c r="G14"/>
      <c r="H14"/>
      <c r="I14"/>
    </row>
    <row r="15" spans="1:11" x14ac:dyDescent="0.25">
      <c r="A15"/>
      <c r="B15"/>
      <c r="C15"/>
      <c r="D15"/>
      <c r="E15"/>
      <c r="F15"/>
      <c r="G15"/>
      <c r="H15"/>
      <c r="I15"/>
    </row>
    <row r="16" spans="1:11" x14ac:dyDescent="0.25">
      <c r="A16"/>
      <c r="B16"/>
      <c r="C16"/>
      <c r="D16"/>
      <c r="E16"/>
      <c r="F16"/>
      <c r="G16"/>
      <c r="H16"/>
      <c r="I16"/>
    </row>
    <row r="17" spans="1:16" x14ac:dyDescent="0.25">
      <c r="A17"/>
      <c r="B17"/>
      <c r="C17"/>
      <c r="D17"/>
      <c r="E17"/>
      <c r="F17"/>
      <c r="G17"/>
      <c r="H17"/>
      <c r="I17"/>
    </row>
    <row r="18" spans="1:16" x14ac:dyDescent="0.25">
      <c r="A18"/>
      <c r="B18"/>
      <c r="C18"/>
      <c r="D18"/>
      <c r="E18"/>
      <c r="F18"/>
      <c r="G18"/>
      <c r="H18"/>
      <c r="I18"/>
    </row>
    <row r="19" spans="1:16" x14ac:dyDescent="0.25">
      <c r="A19"/>
      <c r="B19"/>
      <c r="C19"/>
      <c r="D19"/>
      <c r="E19"/>
      <c r="F19"/>
      <c r="G19"/>
      <c r="H19"/>
      <c r="I19"/>
    </row>
    <row r="20" spans="1:16" x14ac:dyDescent="0.25">
      <c r="A20"/>
      <c r="B20"/>
      <c r="C20"/>
      <c r="D20"/>
      <c r="E20"/>
      <c r="F20"/>
      <c r="G20"/>
      <c r="H20"/>
      <c r="I20"/>
    </row>
    <row r="21" spans="1:16" x14ac:dyDescent="0.25">
      <c r="A21"/>
      <c r="B21"/>
      <c r="C21"/>
      <c r="D21"/>
      <c r="E21"/>
      <c r="F21"/>
      <c r="G21"/>
      <c r="H21"/>
      <c r="I21"/>
    </row>
    <row r="22" spans="1:16" x14ac:dyDescent="0.25">
      <c r="A22"/>
      <c r="B22"/>
      <c r="C22"/>
      <c r="D22"/>
      <c r="E22"/>
      <c r="F22"/>
      <c r="G22"/>
      <c r="H22"/>
      <c r="I22"/>
    </row>
    <row r="23" spans="1:16" x14ac:dyDescent="0.25">
      <c r="A23"/>
      <c r="B23"/>
      <c r="C23"/>
      <c r="D23"/>
      <c r="E23"/>
      <c r="F23"/>
      <c r="G23"/>
      <c r="H23"/>
      <c r="I23"/>
    </row>
    <row r="24" spans="1:16" x14ac:dyDescent="0.25">
      <c r="A24"/>
      <c r="B24"/>
      <c r="C24"/>
      <c r="D24"/>
      <c r="E24"/>
      <c r="F24"/>
      <c r="G24"/>
      <c r="H24"/>
      <c r="I24"/>
    </row>
    <row r="25" spans="1:16" x14ac:dyDescent="0.25">
      <c r="A25"/>
      <c r="B25"/>
      <c r="C25"/>
      <c r="D25"/>
      <c r="E25"/>
      <c r="F25"/>
      <c r="G25"/>
      <c r="H25"/>
      <c r="I25"/>
    </row>
    <row r="26" spans="1:16" x14ac:dyDescent="0.25">
      <c r="A26"/>
      <c r="B26"/>
      <c r="C26"/>
      <c r="D26"/>
      <c r="E26"/>
      <c r="F26"/>
      <c r="G26"/>
      <c r="H26"/>
      <c r="I26"/>
    </row>
    <row r="27" spans="1:16" x14ac:dyDescent="0.25">
      <c r="A27"/>
      <c r="B27"/>
      <c r="C27"/>
      <c r="D27"/>
      <c r="E27"/>
      <c r="F27"/>
      <c r="G27"/>
      <c r="H27"/>
      <c r="I27"/>
    </row>
    <row r="28" spans="1:16" x14ac:dyDescent="0.25">
      <c r="A28"/>
      <c r="B28"/>
      <c r="C28"/>
      <c r="D28"/>
      <c r="E28"/>
      <c r="F28"/>
      <c r="G28"/>
      <c r="H28"/>
      <c r="I28"/>
    </row>
    <row r="29" spans="1:16" ht="15.75" thickBot="1" x14ac:dyDescent="0.3">
      <c r="A29"/>
      <c r="B29"/>
      <c r="C29"/>
      <c r="D29"/>
      <c r="E29"/>
      <c r="F29"/>
      <c r="G29"/>
      <c r="H29"/>
      <c r="I29"/>
    </row>
    <row r="30" spans="1:16" ht="15" customHeight="1" x14ac:dyDescent="0.25">
      <c r="A30" s="102" t="s">
        <v>67</v>
      </c>
      <c r="B30" s="103"/>
      <c r="C30" s="103"/>
      <c r="D30" s="103"/>
      <c r="E30" s="103"/>
      <c r="F30" s="103"/>
      <c r="G30" s="103"/>
      <c r="H30" s="103"/>
      <c r="I30" s="104"/>
    </row>
    <row r="31" spans="1:16" ht="45" x14ac:dyDescent="0.25">
      <c r="A31" s="77" t="s">
        <v>0</v>
      </c>
      <c r="B31" s="78" t="s">
        <v>38</v>
      </c>
      <c r="C31" s="78" t="s">
        <v>7</v>
      </c>
      <c r="D31" s="78"/>
      <c r="E31" s="78" t="s">
        <v>27</v>
      </c>
      <c r="F31" s="79" t="s">
        <v>26</v>
      </c>
      <c r="G31" s="78" t="s">
        <v>40</v>
      </c>
      <c r="H31" s="79" t="s">
        <v>28</v>
      </c>
      <c r="I31" s="80" t="s">
        <v>29</v>
      </c>
      <c r="L31" s="1"/>
      <c r="N31" s="17"/>
      <c r="O31" s="15" t="s">
        <v>6</v>
      </c>
      <c r="P31" s="15" t="s">
        <v>4</v>
      </c>
    </row>
    <row r="32" spans="1:16" x14ac:dyDescent="0.25">
      <c r="A32" s="81">
        <v>1998</v>
      </c>
      <c r="B32" s="21">
        <f>IF($B$2="Trawl",Indices!B2,Indices!C2)</f>
        <v>18502</v>
      </c>
      <c r="C32" s="22">
        <f t="shared" ref="C32:C52" si="0">B32/D$12</f>
        <v>2.5909536479484667</v>
      </c>
      <c r="D32" s="21"/>
      <c r="E32" s="82">
        <f>MIN($G$3,MAX($H$3,(1-(1-C32)*IF(C32&gt;$B$7,$E$9,$E$8))*$F$3))</f>
        <v>2805</v>
      </c>
      <c r="F32" s="65"/>
      <c r="G32" s="82">
        <f>E32</f>
        <v>2805</v>
      </c>
      <c r="H32" s="65"/>
      <c r="I32" s="83"/>
      <c r="L32" s="2"/>
      <c r="N32" s="18"/>
      <c r="O32" s="15">
        <f t="shared" ref="O32:O51" si="1">$H$3</f>
        <v>798</v>
      </c>
      <c r="P32" s="15">
        <f t="shared" ref="P32:P51" si="2">$G$3</f>
        <v>2805</v>
      </c>
    </row>
    <row r="33" spans="1:16" x14ac:dyDescent="0.25">
      <c r="A33" s="81">
        <v>1999</v>
      </c>
      <c r="B33" s="21">
        <f>IF($B$2="Trawl",Indices!B3,Indices!C3)</f>
        <v>16201</v>
      </c>
      <c r="C33" s="22">
        <f t="shared" si="0"/>
        <v>2.2687298697661391</v>
      </c>
      <c r="D33" s="21"/>
      <c r="E33" s="82">
        <f t="shared" ref="E33:E52" si="3">MIN($G$3,MAX($H$3,(1-(1-C33)*IF(C33&gt;$B$7,$E$9,$E$8))*$F$3))</f>
        <v>2631.3275451617419</v>
      </c>
      <c r="F33" s="84">
        <f>(E33-E32)/E32</f>
        <v>-6.1915313667828195E-2</v>
      </c>
      <c r="G33" s="82">
        <f t="shared" ref="G33:G52" si="4">IF(H33&gt;0,IF(ABS(H33)&gt;$H$8,G32*(1+SIGN(H33)*$H$8),E33),IF(ABS(H33)&gt;$H$9,G32*(1+SIGN(H33)*$H$9),E33))</f>
        <v>2631.3275451617419</v>
      </c>
      <c r="H33" s="84">
        <f t="shared" ref="H33:H52" si="5">(E33-G32)/G32</f>
        <v>-6.1915313667828195E-2</v>
      </c>
      <c r="I33" s="85">
        <f>(G33-G32)/G32</f>
        <v>-6.1915313667828195E-2</v>
      </c>
      <c r="L33" s="2"/>
      <c r="N33" s="18"/>
      <c r="O33" s="15">
        <f t="shared" si="1"/>
        <v>798</v>
      </c>
      <c r="P33" s="15">
        <f t="shared" si="2"/>
        <v>2805</v>
      </c>
    </row>
    <row r="34" spans="1:16" x14ac:dyDescent="0.25">
      <c r="A34" s="81">
        <v>2000</v>
      </c>
      <c r="B34" s="21">
        <f>IF($B$2="Trawl",Indices!B4,Indices!C4)</f>
        <v>16203</v>
      </c>
      <c r="C34" s="22">
        <f t="shared" si="0"/>
        <v>2.2690099425850723</v>
      </c>
      <c r="D34" s="21"/>
      <c r="E34" s="82">
        <f t="shared" si="3"/>
        <v>2631.5530037809831</v>
      </c>
      <c r="F34" s="84">
        <f t="shared" ref="F34:F52" si="6">(E34-E33)/E33</f>
        <v>8.5682460800341851E-5</v>
      </c>
      <c r="G34" s="82">
        <f t="shared" si="4"/>
        <v>2631.5530037809831</v>
      </c>
      <c r="H34" s="84">
        <f t="shared" si="5"/>
        <v>8.5682460800341851E-5</v>
      </c>
      <c r="I34" s="85">
        <f>(G34-G33)/G33</f>
        <v>8.5682460800341851E-5</v>
      </c>
      <c r="L34" s="2"/>
      <c r="N34" s="18"/>
      <c r="O34" s="15">
        <f t="shared" si="1"/>
        <v>798</v>
      </c>
      <c r="P34" s="15">
        <f t="shared" si="2"/>
        <v>2805</v>
      </c>
    </row>
    <row r="35" spans="1:16" x14ac:dyDescent="0.25">
      <c r="A35" s="81">
        <v>2001</v>
      </c>
      <c r="B35" s="21">
        <f>IF($B$2="Trawl",Indices!B5,Indices!C5)</f>
        <v>13780</v>
      </c>
      <c r="C35" s="22">
        <f t="shared" si="0"/>
        <v>1.9297017224478363</v>
      </c>
      <c r="D35" s="21"/>
      <c r="E35" s="82">
        <f t="shared" si="3"/>
        <v>2358.4098865705082</v>
      </c>
      <c r="F35" s="84">
        <f t="shared" si="6"/>
        <v>-0.10379540781357099</v>
      </c>
      <c r="G35" s="82">
        <f t="shared" si="4"/>
        <v>2358.4098865705082</v>
      </c>
      <c r="H35" s="84">
        <f t="shared" si="5"/>
        <v>-0.10379540781357099</v>
      </c>
      <c r="I35" s="85">
        <f t="shared" ref="I35:I52" si="7">(G35-G34)/G34</f>
        <v>-0.10379540781357099</v>
      </c>
      <c r="L35" s="2"/>
      <c r="N35" s="18"/>
      <c r="O35" s="15">
        <f t="shared" si="1"/>
        <v>798</v>
      </c>
      <c r="P35" s="15">
        <f t="shared" si="2"/>
        <v>2805</v>
      </c>
    </row>
    <row r="36" spans="1:16" x14ac:dyDescent="0.25">
      <c r="A36" s="81">
        <v>2002</v>
      </c>
      <c r="B36" s="21">
        <f>IF($B$2="Trawl",Indices!B6,Indices!C6)</f>
        <v>12104</v>
      </c>
      <c r="C36" s="22">
        <f t="shared" si="0"/>
        <v>1.6950007001820473</v>
      </c>
      <c r="D36" s="21"/>
      <c r="E36" s="82">
        <f t="shared" si="3"/>
        <v>2169.4755636465479</v>
      </c>
      <c r="F36" s="84">
        <f t="shared" si="6"/>
        <v>-8.0110893360738039E-2</v>
      </c>
      <c r="G36" s="82">
        <f t="shared" si="4"/>
        <v>2169.4755636465479</v>
      </c>
      <c r="H36" s="84">
        <f t="shared" si="5"/>
        <v>-8.0110893360738039E-2</v>
      </c>
      <c r="I36" s="85">
        <f t="shared" si="7"/>
        <v>-8.0110893360738039E-2</v>
      </c>
      <c r="L36" s="2"/>
      <c r="N36" s="18"/>
      <c r="O36" s="15">
        <f t="shared" si="1"/>
        <v>798</v>
      </c>
      <c r="P36" s="15">
        <f t="shared" si="2"/>
        <v>2805</v>
      </c>
    </row>
    <row r="37" spans="1:16" x14ac:dyDescent="0.25">
      <c r="A37" s="81">
        <v>2003</v>
      </c>
      <c r="B37" s="21">
        <f>IF($B$2="Trawl",Indices!B7,Indices!C7)</f>
        <v>10866</v>
      </c>
      <c r="C37" s="22">
        <f t="shared" si="0"/>
        <v>1.5216356252625682</v>
      </c>
      <c r="D37" s="21"/>
      <c r="E37" s="82">
        <f t="shared" si="3"/>
        <v>2029.9166783363673</v>
      </c>
      <c r="F37" s="84">
        <f t="shared" si="6"/>
        <v>-6.4328396986230163E-2</v>
      </c>
      <c r="G37" s="82">
        <f t="shared" si="4"/>
        <v>2029.9166783363673</v>
      </c>
      <c r="H37" s="84">
        <f t="shared" si="5"/>
        <v>-6.4328396986230163E-2</v>
      </c>
      <c r="I37" s="85">
        <f t="shared" si="7"/>
        <v>-6.4328396986230163E-2</v>
      </c>
      <c r="L37" s="2"/>
      <c r="N37" s="18"/>
      <c r="O37" s="15">
        <f t="shared" si="1"/>
        <v>798</v>
      </c>
      <c r="P37" s="15">
        <f t="shared" si="2"/>
        <v>2805</v>
      </c>
    </row>
    <row r="38" spans="1:16" x14ac:dyDescent="0.25">
      <c r="A38" s="81">
        <v>2004</v>
      </c>
      <c r="B38" s="21">
        <f>IF($B$2="Trawl",Indices!B8,Indices!C8)</f>
        <v>9987</v>
      </c>
      <c r="C38" s="22">
        <f t="shared" si="0"/>
        <v>1.3985436213415487</v>
      </c>
      <c r="D38" s="21"/>
      <c r="E38" s="82">
        <f t="shared" si="3"/>
        <v>1930.8276151799469</v>
      </c>
      <c r="F38" s="84">
        <f t="shared" si="6"/>
        <v>-4.8814349975009629E-2</v>
      </c>
      <c r="G38" s="82">
        <f t="shared" si="4"/>
        <v>1930.8276151799469</v>
      </c>
      <c r="H38" s="84">
        <f t="shared" si="5"/>
        <v>-4.8814349975009629E-2</v>
      </c>
      <c r="I38" s="85">
        <f t="shared" si="7"/>
        <v>-4.8814349975009629E-2</v>
      </c>
      <c r="L38" s="2"/>
      <c r="N38" s="18"/>
      <c r="O38" s="15">
        <f t="shared" si="1"/>
        <v>798</v>
      </c>
      <c r="P38" s="15">
        <f t="shared" si="2"/>
        <v>2805</v>
      </c>
    </row>
    <row r="39" spans="1:16" x14ac:dyDescent="0.25">
      <c r="A39" s="81">
        <v>2005</v>
      </c>
      <c r="B39" s="21">
        <f>IF($B$2="Trawl",Indices!B9,Indices!C9)</f>
        <v>9550</v>
      </c>
      <c r="C39" s="22">
        <f t="shared" si="0"/>
        <v>1.3373477104047051</v>
      </c>
      <c r="D39" s="21"/>
      <c r="E39" s="82">
        <f t="shared" si="3"/>
        <v>1881.5649068757875</v>
      </c>
      <c r="F39" s="84">
        <f t="shared" si="6"/>
        <v>-2.5513778608127171E-2</v>
      </c>
      <c r="G39" s="82">
        <f t="shared" si="4"/>
        <v>1881.5649068757875</v>
      </c>
      <c r="H39" s="84">
        <f t="shared" si="5"/>
        <v>-2.5513778608127171E-2</v>
      </c>
      <c r="I39" s="85">
        <f t="shared" si="7"/>
        <v>-2.5513778608127171E-2</v>
      </c>
      <c r="L39" s="2"/>
      <c r="N39" s="18"/>
      <c r="O39" s="15">
        <f t="shared" si="1"/>
        <v>798</v>
      </c>
      <c r="P39" s="15">
        <f t="shared" si="2"/>
        <v>2805</v>
      </c>
    </row>
    <row r="40" spans="1:16" x14ac:dyDescent="0.25">
      <c r="A40" s="81">
        <v>2006</v>
      </c>
      <c r="B40" s="21">
        <f>IF($B$2="Trawl",Indices!B10,Indices!C10)</f>
        <v>9802</v>
      </c>
      <c r="C40" s="22">
        <f t="shared" si="0"/>
        <v>1.3726368855902535</v>
      </c>
      <c r="D40" s="21"/>
      <c r="E40" s="82">
        <f t="shared" si="3"/>
        <v>1909.972692900154</v>
      </c>
      <c r="F40" s="84">
        <f t="shared" si="6"/>
        <v>1.5097956982805187E-2</v>
      </c>
      <c r="G40" s="82">
        <f t="shared" si="4"/>
        <v>1909.972692900154</v>
      </c>
      <c r="H40" s="84">
        <f t="shared" si="5"/>
        <v>1.5097956982805187E-2</v>
      </c>
      <c r="I40" s="85">
        <f t="shared" si="7"/>
        <v>1.5097956982805187E-2</v>
      </c>
      <c r="L40" s="2"/>
      <c r="N40" s="18"/>
      <c r="O40" s="15">
        <f t="shared" si="1"/>
        <v>798</v>
      </c>
      <c r="P40" s="15">
        <f t="shared" si="2"/>
        <v>2805</v>
      </c>
    </row>
    <row r="41" spans="1:16" x14ac:dyDescent="0.25">
      <c r="A41" s="81">
        <v>2007</v>
      </c>
      <c r="B41" s="21">
        <f>IF($B$2="Trawl",Indices!B11,Indices!C11)</f>
        <v>9673</v>
      </c>
      <c r="C41" s="22">
        <f t="shared" si="0"/>
        <v>1.35457218876908</v>
      </c>
      <c r="D41" s="21"/>
      <c r="E41" s="82">
        <f t="shared" si="3"/>
        <v>1895.4306119591095</v>
      </c>
      <c r="F41" s="84">
        <f t="shared" si="6"/>
        <v>-7.6137637962579831E-3</v>
      </c>
      <c r="G41" s="82">
        <f t="shared" si="4"/>
        <v>1895.4306119591095</v>
      </c>
      <c r="H41" s="84">
        <f t="shared" si="5"/>
        <v>-7.6137637962579831E-3</v>
      </c>
      <c r="I41" s="85">
        <f t="shared" si="7"/>
        <v>-7.6137637962579831E-3</v>
      </c>
      <c r="L41" s="2"/>
      <c r="N41" s="18"/>
      <c r="O41" s="15">
        <f t="shared" si="1"/>
        <v>798</v>
      </c>
      <c r="P41" s="15">
        <f t="shared" si="2"/>
        <v>2805</v>
      </c>
    </row>
    <row r="42" spans="1:16" x14ac:dyDescent="0.25">
      <c r="A42" s="81">
        <v>2008</v>
      </c>
      <c r="B42" s="21">
        <f>IF($B$2="Trawl",Indices!B12,Indices!C12)</f>
        <v>10264</v>
      </c>
      <c r="C42" s="22">
        <f t="shared" si="0"/>
        <v>1.4373337067637586</v>
      </c>
      <c r="D42" s="21"/>
      <c r="E42" s="82">
        <f t="shared" si="3"/>
        <v>1962.0536339448256</v>
      </c>
      <c r="F42" s="84">
        <f t="shared" si="6"/>
        <v>3.5149280361603349E-2</v>
      </c>
      <c r="G42" s="82">
        <f t="shared" si="4"/>
        <v>1962.0536339448256</v>
      </c>
      <c r="H42" s="84">
        <f t="shared" si="5"/>
        <v>3.5149280361603349E-2</v>
      </c>
      <c r="I42" s="85">
        <f t="shared" si="7"/>
        <v>3.5149280361603349E-2</v>
      </c>
      <c r="L42" s="2"/>
      <c r="N42" s="18"/>
      <c r="O42" s="15">
        <f t="shared" si="1"/>
        <v>798</v>
      </c>
      <c r="P42" s="15">
        <f t="shared" si="2"/>
        <v>2805</v>
      </c>
    </row>
    <row r="43" spans="1:16" x14ac:dyDescent="0.25">
      <c r="A43" s="81">
        <v>2009</v>
      </c>
      <c r="B43" s="21">
        <f>IF($B$2="Trawl",Indices!B13,Indices!C13)</f>
        <v>9834</v>
      </c>
      <c r="C43" s="22">
        <f t="shared" si="0"/>
        <v>1.3771180506931802</v>
      </c>
      <c r="D43" s="21"/>
      <c r="E43" s="82">
        <f t="shared" si="3"/>
        <v>1913.58003080801</v>
      </c>
      <c r="F43" s="84">
        <f t="shared" si="6"/>
        <v>-2.4705544383797802E-2</v>
      </c>
      <c r="G43" s="82">
        <f t="shared" si="4"/>
        <v>1913.58003080801</v>
      </c>
      <c r="H43" s="84">
        <f t="shared" si="5"/>
        <v>-2.4705544383797802E-2</v>
      </c>
      <c r="I43" s="85">
        <f t="shared" si="7"/>
        <v>-2.4705544383797802E-2</v>
      </c>
      <c r="L43" s="2"/>
      <c r="N43" s="18"/>
      <c r="O43" s="15">
        <f t="shared" si="1"/>
        <v>798</v>
      </c>
      <c r="P43" s="15">
        <f t="shared" si="2"/>
        <v>2805</v>
      </c>
    </row>
    <row r="44" spans="1:16" x14ac:dyDescent="0.25">
      <c r="A44" s="81">
        <v>2010</v>
      </c>
      <c r="B44" s="21">
        <f>IF($B$2="Trawl",Indices!B14,Indices!C14)</f>
        <v>9146</v>
      </c>
      <c r="C44" s="22">
        <f t="shared" si="0"/>
        <v>1.2807730009802549</v>
      </c>
      <c r="D44" s="21"/>
      <c r="E44" s="82">
        <f t="shared" si="3"/>
        <v>1836.0222657891052</v>
      </c>
      <c r="F44" s="84">
        <f t="shared" si="6"/>
        <v>-4.0530191458026436E-2</v>
      </c>
      <c r="G44" s="82">
        <f t="shared" si="4"/>
        <v>1836.0222657891052</v>
      </c>
      <c r="H44" s="84">
        <f t="shared" si="5"/>
        <v>-4.0530191458026436E-2</v>
      </c>
      <c r="I44" s="85">
        <f t="shared" si="7"/>
        <v>-4.0530191458026436E-2</v>
      </c>
      <c r="L44" s="2"/>
      <c r="N44" s="18"/>
      <c r="O44" s="15">
        <f t="shared" si="1"/>
        <v>798</v>
      </c>
      <c r="P44" s="15">
        <f t="shared" si="2"/>
        <v>2805</v>
      </c>
    </row>
    <row r="45" spans="1:16" x14ac:dyDescent="0.25">
      <c r="A45" s="81">
        <v>2011</v>
      </c>
      <c r="B45" s="21">
        <f>IF($B$2="Trawl",Indices!B15,Indices!C15)</f>
        <v>8669</v>
      </c>
      <c r="C45" s="22">
        <f t="shared" si="0"/>
        <v>1.2139756336647529</v>
      </c>
      <c r="D45" s="21"/>
      <c r="E45" s="82">
        <f t="shared" si="3"/>
        <v>1782.2503851001263</v>
      </c>
      <c r="F45" s="84">
        <f t="shared" si="6"/>
        <v>-2.9287161539878277E-2</v>
      </c>
      <c r="G45" s="82">
        <f t="shared" si="4"/>
        <v>1782.2503851001263</v>
      </c>
      <c r="H45" s="84">
        <f t="shared" si="5"/>
        <v>-2.9287161539878277E-2</v>
      </c>
      <c r="I45" s="85">
        <f t="shared" si="7"/>
        <v>-2.9287161539878277E-2</v>
      </c>
      <c r="L45" s="2"/>
      <c r="N45" s="18"/>
      <c r="O45" s="15">
        <f t="shared" si="1"/>
        <v>798</v>
      </c>
      <c r="P45" s="15">
        <f t="shared" si="2"/>
        <v>2805</v>
      </c>
    </row>
    <row r="46" spans="1:16" x14ac:dyDescent="0.25">
      <c r="A46" s="81">
        <v>2012</v>
      </c>
      <c r="B46" s="21">
        <f>IF($B$2="Trawl",Indices!B16,Indices!C16)</f>
        <v>8403</v>
      </c>
      <c r="C46" s="22">
        <f t="shared" si="0"/>
        <v>1.1767259487466741</v>
      </c>
      <c r="D46" s="21"/>
      <c r="E46" s="82">
        <f t="shared" si="3"/>
        <v>1752.2643887410729</v>
      </c>
      <c r="F46" s="84">
        <f t="shared" si="6"/>
        <v>-1.6824794433902609E-2</v>
      </c>
      <c r="G46" s="82">
        <f t="shared" si="4"/>
        <v>1752.2643887410729</v>
      </c>
      <c r="H46" s="84">
        <f t="shared" si="5"/>
        <v>-1.6824794433902609E-2</v>
      </c>
      <c r="I46" s="85">
        <f t="shared" si="7"/>
        <v>-1.6824794433902609E-2</v>
      </c>
      <c r="L46" s="2"/>
      <c r="N46" s="18"/>
      <c r="O46" s="15">
        <f t="shared" si="1"/>
        <v>798</v>
      </c>
      <c r="P46" s="15">
        <f t="shared" si="2"/>
        <v>2805</v>
      </c>
    </row>
    <row r="47" spans="1:16" x14ac:dyDescent="0.25">
      <c r="A47" s="81">
        <v>2013</v>
      </c>
      <c r="B47" s="21">
        <f>IF($B$2="Trawl",Indices!B17,Indices!C17)</f>
        <v>7989</v>
      </c>
      <c r="C47" s="22">
        <f t="shared" si="0"/>
        <v>1.1187508752275592</v>
      </c>
      <c r="D47" s="21"/>
      <c r="E47" s="82">
        <f t="shared" si="3"/>
        <v>1705.5944545581851</v>
      </c>
      <c r="F47" s="84">
        <f t="shared" si="6"/>
        <v>-2.6634071024189538E-2</v>
      </c>
      <c r="G47" s="82">
        <f t="shared" si="4"/>
        <v>1705.5944545581851</v>
      </c>
      <c r="H47" s="84">
        <f t="shared" si="5"/>
        <v>-2.6634071024189538E-2</v>
      </c>
      <c r="I47" s="85">
        <f t="shared" si="7"/>
        <v>-2.6634071024189538E-2</v>
      </c>
      <c r="L47" s="2"/>
      <c r="N47" s="18"/>
      <c r="O47" s="15">
        <f t="shared" si="1"/>
        <v>798</v>
      </c>
      <c r="P47" s="15">
        <f t="shared" si="2"/>
        <v>2805</v>
      </c>
    </row>
    <row r="48" spans="1:16" x14ac:dyDescent="0.25">
      <c r="A48" s="81">
        <v>2014</v>
      </c>
      <c r="B48" s="21">
        <f>IF($B$2="Trawl",Indices!B18,Indices!C18)</f>
        <v>7995</v>
      </c>
      <c r="C48" s="22">
        <f t="shared" si="0"/>
        <v>1.1195910936843578</v>
      </c>
      <c r="D48" s="21"/>
      <c r="E48" s="82">
        <f t="shared" si="3"/>
        <v>1706.270830415908</v>
      </c>
      <c r="F48" s="84">
        <f t="shared" si="6"/>
        <v>3.9656311962978769E-4</v>
      </c>
      <c r="G48" s="82">
        <f t="shared" si="4"/>
        <v>1706.270830415908</v>
      </c>
      <c r="H48" s="84">
        <f t="shared" si="5"/>
        <v>3.9656311962978769E-4</v>
      </c>
      <c r="I48" s="85">
        <f t="shared" si="7"/>
        <v>3.9656311962978769E-4</v>
      </c>
      <c r="L48" s="2"/>
      <c r="N48" s="18"/>
      <c r="O48" s="15">
        <f t="shared" si="1"/>
        <v>798</v>
      </c>
      <c r="P48" s="15">
        <f t="shared" si="2"/>
        <v>2805</v>
      </c>
    </row>
    <row r="49" spans="1:16" x14ac:dyDescent="0.25">
      <c r="A49" s="81">
        <v>2015</v>
      </c>
      <c r="B49" s="21">
        <f>IF($B$2="Trawl",Indices!B19,Indices!C19)</f>
        <v>8130</v>
      </c>
      <c r="C49" s="22">
        <f t="shared" si="0"/>
        <v>1.1384960089623302</v>
      </c>
      <c r="D49" s="21"/>
      <c r="E49" s="82">
        <f t="shared" si="3"/>
        <v>1721.4892872146759</v>
      </c>
      <c r="F49" s="84">
        <f t="shared" si="6"/>
        <v>8.9191331923891212E-3</v>
      </c>
      <c r="G49" s="82">
        <f t="shared" si="4"/>
        <v>1721.4892872146759</v>
      </c>
      <c r="H49" s="84">
        <f t="shared" si="5"/>
        <v>8.9191331923891212E-3</v>
      </c>
      <c r="I49" s="85">
        <f t="shared" si="7"/>
        <v>8.9191331923891212E-3</v>
      </c>
      <c r="L49" s="2"/>
      <c r="N49" s="18"/>
      <c r="O49" s="15">
        <f t="shared" si="1"/>
        <v>798</v>
      </c>
      <c r="P49" s="15">
        <f t="shared" si="2"/>
        <v>2805</v>
      </c>
    </row>
    <row r="50" spans="1:16" x14ac:dyDescent="0.25">
      <c r="A50" s="81">
        <v>2016</v>
      </c>
      <c r="B50" s="21">
        <f>IF($B$2="Trawl",Indices!B20,Indices!C20)</f>
        <v>7826</v>
      </c>
      <c r="C50" s="22">
        <f t="shared" si="0"/>
        <v>1.0959249404845259</v>
      </c>
      <c r="D50" s="21"/>
      <c r="E50" s="82">
        <f t="shared" si="3"/>
        <v>1687.2195770900435</v>
      </c>
      <c r="F50" s="84">
        <f t="shared" si="6"/>
        <v>-1.9907013293170066E-2</v>
      </c>
      <c r="G50" s="82">
        <f t="shared" si="4"/>
        <v>1687.2195770900435</v>
      </c>
      <c r="H50" s="84">
        <f t="shared" si="5"/>
        <v>-1.9907013293170066E-2</v>
      </c>
      <c r="I50" s="85">
        <f t="shared" si="7"/>
        <v>-1.9907013293170066E-2</v>
      </c>
      <c r="L50" s="2"/>
      <c r="N50" s="18"/>
      <c r="O50" s="15">
        <f t="shared" si="1"/>
        <v>798</v>
      </c>
      <c r="P50" s="15">
        <f t="shared" si="2"/>
        <v>2805</v>
      </c>
    </row>
    <row r="51" spans="1:16" x14ac:dyDescent="0.25">
      <c r="A51" s="81">
        <v>2017</v>
      </c>
      <c r="B51" s="21">
        <f>IF($B$2="Trawl",Indices!B21,Indices!C21)</f>
        <v>7250</v>
      </c>
      <c r="C51" s="22">
        <f t="shared" si="0"/>
        <v>1.0152639686318443</v>
      </c>
      <c r="D51" s="21"/>
      <c r="E51" s="82">
        <f t="shared" si="3"/>
        <v>1622.2874947486346</v>
      </c>
      <c r="F51" s="84">
        <f t="shared" si="6"/>
        <v>-3.8484666265784798E-2</v>
      </c>
      <c r="G51" s="82">
        <f t="shared" si="4"/>
        <v>1622.2874947486346</v>
      </c>
      <c r="H51" s="84">
        <f t="shared" si="5"/>
        <v>-3.8484666265784798E-2</v>
      </c>
      <c r="I51" s="85">
        <f t="shared" si="7"/>
        <v>-3.8484666265784798E-2</v>
      </c>
      <c r="L51" s="2"/>
      <c r="N51" s="18"/>
      <c r="O51" s="15">
        <f t="shared" si="1"/>
        <v>798</v>
      </c>
      <c r="P51" s="15">
        <f t="shared" si="2"/>
        <v>2805</v>
      </c>
    </row>
    <row r="52" spans="1:16" x14ac:dyDescent="0.25">
      <c r="A52" s="81">
        <v>2018</v>
      </c>
      <c r="B52" s="21">
        <f>IF($B$2="Trawl",Indices!B22,Indices!C22)</f>
        <v>7141</v>
      </c>
      <c r="C52" s="22">
        <f t="shared" si="0"/>
        <v>1</v>
      </c>
      <c r="D52" s="21"/>
      <c r="E52" s="82">
        <f t="shared" si="3"/>
        <v>1610</v>
      </c>
      <c r="F52" s="84">
        <f t="shared" si="6"/>
        <v>-7.5741783058855781E-3</v>
      </c>
      <c r="G52" s="82">
        <f t="shared" si="4"/>
        <v>1610</v>
      </c>
      <c r="H52" s="84">
        <f t="shared" si="5"/>
        <v>-7.5741783058855781E-3</v>
      </c>
      <c r="I52" s="85">
        <f t="shared" si="7"/>
        <v>-7.5741783058855781E-3</v>
      </c>
    </row>
    <row r="53" spans="1:16" x14ac:dyDescent="0.25">
      <c r="A53" s="81"/>
      <c r="B53" s="21"/>
      <c r="C53" s="21"/>
      <c r="D53" s="21"/>
      <c r="E53" s="21"/>
      <c r="F53" s="21"/>
      <c r="G53" s="21"/>
      <c r="H53" s="65"/>
      <c r="I53" s="83"/>
      <c r="L53" s="2"/>
      <c r="N53" s="18"/>
    </row>
    <row r="54" spans="1:16" ht="15.75" thickBot="1" x14ac:dyDescent="0.3">
      <c r="A54" s="86" t="s">
        <v>13</v>
      </c>
      <c r="B54" s="87">
        <v>9000</v>
      </c>
      <c r="C54" s="87">
        <f>B54/$D$12</f>
        <v>1.2603276851981515</v>
      </c>
      <c r="D54" s="87"/>
      <c r="E54" s="88">
        <f t="shared" ref="E54" si="8">MIN($G$3,MAX($H$3,(1-(1-C54)*IF(B44&gt;1,$E$9,$E$8))*$F$3))</f>
        <v>1819.5637865845122</v>
      </c>
      <c r="F54" s="89">
        <f>(E54-E51)/E51</f>
        <v>0.12160378014036569</v>
      </c>
      <c r="G54" s="88">
        <f>IF(ABS(H54)&gt;$H$8,G51*(1+SIGN(H54)*$H$8),E54)</f>
        <v>1819.5637865845122</v>
      </c>
      <c r="H54" s="89">
        <f>(E54-G51)/G51</f>
        <v>0.12160378014036569</v>
      </c>
      <c r="I54" s="90">
        <f>(G54-G51)/G51</f>
        <v>0.12160378014036569</v>
      </c>
      <c r="L54" s="2"/>
      <c r="N54" s="18"/>
    </row>
    <row r="55" spans="1:16" ht="15.75" thickBot="1" x14ac:dyDescent="0.3">
      <c r="F55"/>
      <c r="J55" s="2"/>
      <c r="K55" s="2"/>
      <c r="L55" s="2"/>
      <c r="N55" s="18"/>
    </row>
    <row r="56" spans="1:16" ht="15" customHeight="1" x14ac:dyDescent="0.25">
      <c r="A56" s="102" t="s">
        <v>68</v>
      </c>
      <c r="B56" s="103"/>
      <c r="C56" s="103"/>
      <c r="D56" s="103"/>
      <c r="E56" s="103"/>
      <c r="F56" s="103"/>
      <c r="G56" s="103"/>
      <c r="H56" s="103"/>
      <c r="I56" s="104"/>
      <c r="L56" s="2"/>
    </row>
    <row r="57" spans="1:16" ht="45" x14ac:dyDescent="0.25">
      <c r="A57" s="77" t="s">
        <v>0</v>
      </c>
      <c r="B57" s="78" t="s">
        <v>38</v>
      </c>
      <c r="C57" s="78" t="s">
        <v>7</v>
      </c>
      <c r="D57" s="78"/>
      <c r="E57" s="78" t="s">
        <v>27</v>
      </c>
      <c r="F57" s="79" t="s">
        <v>26</v>
      </c>
      <c r="G57" s="78" t="s">
        <v>40</v>
      </c>
      <c r="H57" s="79" t="s">
        <v>28</v>
      </c>
      <c r="I57" s="80" t="s">
        <v>29</v>
      </c>
      <c r="N57" s="17"/>
      <c r="O57" s="15" t="s">
        <v>6</v>
      </c>
      <c r="P57" s="15" t="s">
        <v>4</v>
      </c>
    </row>
    <row r="58" spans="1:16" x14ac:dyDescent="0.25">
      <c r="A58" s="81">
        <v>1998</v>
      </c>
      <c r="B58" s="21">
        <f>IF($B$3="Trawl",Indices!B2,Indices!C2)</f>
        <v>18502</v>
      </c>
      <c r="C58" s="22">
        <f>B58/D$13</f>
        <v>2.5909536479484667</v>
      </c>
      <c r="D58" s="21"/>
      <c r="E58" s="82">
        <f>MIN($G$4,MAX($H$4,(1-(1-C58)*IF(C58&gt;$B$7,$E$9,$E$8))*$F$4))</f>
        <v>710</v>
      </c>
      <c r="F58" s="65"/>
      <c r="G58" s="82">
        <f>E58</f>
        <v>710</v>
      </c>
      <c r="H58" s="65"/>
      <c r="I58" s="83"/>
      <c r="N58" s="18"/>
      <c r="O58" s="12">
        <f>$H$4</f>
        <v>202</v>
      </c>
      <c r="P58" s="12">
        <f>$G$4</f>
        <v>710</v>
      </c>
    </row>
    <row r="59" spans="1:16" x14ac:dyDescent="0.25">
      <c r="A59" s="81">
        <v>1999</v>
      </c>
      <c r="B59" s="21">
        <f>IF($B$3="Trawl",Indices!B3,Indices!C3)</f>
        <v>16201</v>
      </c>
      <c r="C59" s="22">
        <f t="shared" ref="C59:C80" si="9">B59/D$13</f>
        <v>2.2687298697661391</v>
      </c>
      <c r="D59" s="21"/>
      <c r="E59" s="82">
        <f t="shared" ref="E59:E78" si="10">MIN($G$4,MAX($H$4,(1-(1-C59)*1)*$F$4))</f>
        <v>710</v>
      </c>
      <c r="F59" s="84">
        <f>(E59-E58)/E58</f>
        <v>0</v>
      </c>
      <c r="G59" s="82">
        <f t="shared" ref="G59:G78" si="11">IF(H59&gt;0,IF(ABS(H59)&gt;$H$8,G58*(1+SIGN(H59)*$H$8),E59),IF(ABS(H59)&gt;$H$9,G58*(1+SIGN(H59)*$H$9),E59))</f>
        <v>710</v>
      </c>
      <c r="H59" s="84">
        <f t="shared" ref="H59:H78" si="12">(E59-G58)/G58</f>
        <v>0</v>
      </c>
      <c r="I59" s="85">
        <f>(G59-G58)/G58</f>
        <v>0</v>
      </c>
      <c r="N59" s="18"/>
      <c r="O59" s="12">
        <f t="shared" ref="O59:O78" si="13">$H$4</f>
        <v>202</v>
      </c>
      <c r="P59" s="12">
        <f t="shared" ref="P59:P78" si="14">$G$4</f>
        <v>710</v>
      </c>
    </row>
    <row r="60" spans="1:16" x14ac:dyDescent="0.25">
      <c r="A60" s="81">
        <v>2000</v>
      </c>
      <c r="B60" s="21">
        <f>IF($B$3="Trawl",Indices!B4,Indices!C4)</f>
        <v>16203</v>
      </c>
      <c r="C60" s="22">
        <f t="shared" si="9"/>
        <v>2.2690099425850723</v>
      </c>
      <c r="D60" s="21"/>
      <c r="E60" s="82">
        <f t="shared" si="10"/>
        <v>710</v>
      </c>
      <c r="F60" s="84">
        <f t="shared" ref="F60:F78" si="15">(E60-E59)/E59</f>
        <v>0</v>
      </c>
      <c r="G60" s="82">
        <f t="shared" si="11"/>
        <v>710</v>
      </c>
      <c r="H60" s="84">
        <f t="shared" si="12"/>
        <v>0</v>
      </c>
      <c r="I60" s="85">
        <f>(G60-G59)/G59</f>
        <v>0</v>
      </c>
      <c r="N60" s="18"/>
      <c r="O60" s="12">
        <f t="shared" si="13"/>
        <v>202</v>
      </c>
      <c r="P60" s="12">
        <f t="shared" si="14"/>
        <v>710</v>
      </c>
    </row>
    <row r="61" spans="1:16" x14ac:dyDescent="0.25">
      <c r="A61" s="81">
        <v>2001</v>
      </c>
      <c r="B61" s="21">
        <f>IF($B$3="Trawl",Indices!B5,Indices!C5)</f>
        <v>13780</v>
      </c>
      <c r="C61" s="22">
        <f t="shared" si="9"/>
        <v>1.9297017224478363</v>
      </c>
      <c r="D61" s="21"/>
      <c r="E61" s="82">
        <f t="shared" si="10"/>
        <v>710</v>
      </c>
      <c r="F61" s="84">
        <f t="shared" si="15"/>
        <v>0</v>
      </c>
      <c r="G61" s="82">
        <f t="shared" si="11"/>
        <v>710</v>
      </c>
      <c r="H61" s="84">
        <f t="shared" si="12"/>
        <v>0</v>
      </c>
      <c r="I61" s="85">
        <f t="shared" ref="I61:I78" si="16">(G61-G60)/G60</f>
        <v>0</v>
      </c>
      <c r="N61" s="18"/>
      <c r="O61" s="12">
        <f t="shared" si="13"/>
        <v>202</v>
      </c>
      <c r="P61" s="12">
        <f t="shared" si="14"/>
        <v>710</v>
      </c>
    </row>
    <row r="62" spans="1:16" x14ac:dyDescent="0.25">
      <c r="A62" s="81">
        <v>2002</v>
      </c>
      <c r="B62" s="21">
        <f>IF($B$3="Trawl",Indices!B6,Indices!C6)</f>
        <v>12104</v>
      </c>
      <c r="C62" s="22">
        <f t="shared" si="9"/>
        <v>1.6950007001820473</v>
      </c>
      <c r="D62" s="21"/>
      <c r="E62" s="82">
        <f t="shared" si="10"/>
        <v>691.56028567427529</v>
      </c>
      <c r="F62" s="84">
        <f t="shared" si="15"/>
        <v>-2.597142862778128E-2</v>
      </c>
      <c r="G62" s="82">
        <f t="shared" si="11"/>
        <v>691.56028567427529</v>
      </c>
      <c r="H62" s="84">
        <f t="shared" si="12"/>
        <v>-2.597142862778128E-2</v>
      </c>
      <c r="I62" s="85">
        <f t="shared" si="16"/>
        <v>-2.597142862778128E-2</v>
      </c>
      <c r="N62" s="18"/>
      <c r="O62" s="12">
        <f t="shared" si="13"/>
        <v>202</v>
      </c>
      <c r="P62" s="12">
        <f t="shared" si="14"/>
        <v>710</v>
      </c>
    </row>
    <row r="63" spans="1:16" x14ac:dyDescent="0.25">
      <c r="A63" s="81">
        <v>2003</v>
      </c>
      <c r="B63" s="21">
        <f>IF($B$3="Trawl",Indices!B7,Indices!C7)</f>
        <v>10866</v>
      </c>
      <c r="C63" s="22">
        <f t="shared" si="9"/>
        <v>1.5216356252625682</v>
      </c>
      <c r="D63" s="21"/>
      <c r="E63" s="82">
        <f t="shared" si="10"/>
        <v>620.82733510712785</v>
      </c>
      <c r="F63" s="84">
        <f t="shared" si="15"/>
        <v>-0.10228023793787175</v>
      </c>
      <c r="G63" s="82">
        <f t="shared" si="11"/>
        <v>620.82733510712785</v>
      </c>
      <c r="H63" s="84">
        <f t="shared" si="12"/>
        <v>-0.10228023793787175</v>
      </c>
      <c r="I63" s="85">
        <f t="shared" si="16"/>
        <v>-0.10228023793787175</v>
      </c>
      <c r="N63" s="18"/>
      <c r="O63" s="12">
        <f t="shared" si="13"/>
        <v>202</v>
      </c>
      <c r="P63" s="12">
        <f t="shared" si="14"/>
        <v>710</v>
      </c>
    </row>
    <row r="64" spans="1:16" x14ac:dyDescent="0.25">
      <c r="A64" s="81">
        <v>2004</v>
      </c>
      <c r="B64" s="21">
        <f>IF($B$3="Trawl",Indices!B8,Indices!C8)</f>
        <v>9987</v>
      </c>
      <c r="C64" s="22">
        <f t="shared" si="9"/>
        <v>1.3985436213415487</v>
      </c>
      <c r="D64" s="21"/>
      <c r="E64" s="82">
        <f t="shared" si="10"/>
        <v>570.60579750735189</v>
      </c>
      <c r="F64" s="84">
        <f t="shared" si="15"/>
        <v>-8.08945334069575E-2</v>
      </c>
      <c r="G64" s="82">
        <f t="shared" si="11"/>
        <v>570.60579750735189</v>
      </c>
      <c r="H64" s="84">
        <f t="shared" si="12"/>
        <v>-8.08945334069575E-2</v>
      </c>
      <c r="I64" s="85">
        <f t="shared" si="16"/>
        <v>-8.08945334069575E-2</v>
      </c>
      <c r="N64" s="18"/>
      <c r="O64" s="12">
        <f t="shared" si="13"/>
        <v>202</v>
      </c>
      <c r="P64" s="12">
        <f t="shared" si="14"/>
        <v>710</v>
      </c>
    </row>
    <row r="65" spans="1:16" x14ac:dyDescent="0.25">
      <c r="A65" s="81">
        <v>2005</v>
      </c>
      <c r="B65" s="21">
        <f>IF($B$3="Trawl",Indices!B9,Indices!C9)</f>
        <v>9550</v>
      </c>
      <c r="C65" s="22">
        <f t="shared" si="9"/>
        <v>1.3373477104047051</v>
      </c>
      <c r="D65" s="21"/>
      <c r="E65" s="82">
        <f t="shared" si="10"/>
        <v>545.63786584511968</v>
      </c>
      <c r="F65" s="84">
        <f t="shared" si="15"/>
        <v>-4.3756883949133941E-2</v>
      </c>
      <c r="G65" s="82">
        <f t="shared" si="11"/>
        <v>545.63786584511968</v>
      </c>
      <c r="H65" s="84">
        <f t="shared" si="12"/>
        <v>-4.3756883949133941E-2</v>
      </c>
      <c r="I65" s="85">
        <f t="shared" si="16"/>
        <v>-4.3756883949133941E-2</v>
      </c>
      <c r="N65" s="18"/>
      <c r="O65" s="12">
        <f t="shared" si="13"/>
        <v>202</v>
      </c>
      <c r="P65" s="12">
        <f t="shared" si="14"/>
        <v>710</v>
      </c>
    </row>
    <row r="66" spans="1:16" x14ac:dyDescent="0.25">
      <c r="A66" s="81">
        <v>2006</v>
      </c>
      <c r="B66" s="21">
        <f>IF($B$3="Trawl",Indices!B10,Indices!C10)</f>
        <v>9802</v>
      </c>
      <c r="C66" s="22">
        <f t="shared" si="9"/>
        <v>1.3726368855902535</v>
      </c>
      <c r="D66" s="21"/>
      <c r="E66" s="82">
        <f t="shared" si="10"/>
        <v>560.03584932082344</v>
      </c>
      <c r="F66" s="84">
        <f t="shared" si="15"/>
        <v>2.6387434554973981E-2</v>
      </c>
      <c r="G66" s="82">
        <f t="shared" si="11"/>
        <v>560.03584932082344</v>
      </c>
      <c r="H66" s="84">
        <f t="shared" si="12"/>
        <v>2.6387434554973981E-2</v>
      </c>
      <c r="I66" s="85">
        <f t="shared" si="16"/>
        <v>2.6387434554973981E-2</v>
      </c>
      <c r="N66" s="18"/>
      <c r="O66" s="12">
        <f t="shared" si="13"/>
        <v>202</v>
      </c>
      <c r="P66" s="12">
        <f t="shared" si="14"/>
        <v>710</v>
      </c>
    </row>
    <row r="67" spans="1:16" x14ac:dyDescent="0.25">
      <c r="A67" s="81">
        <v>2007</v>
      </c>
      <c r="B67" s="21">
        <f>IF($B$3="Trawl",Indices!B11,Indices!C11)</f>
        <v>9673</v>
      </c>
      <c r="C67" s="22">
        <f t="shared" si="9"/>
        <v>1.35457218876908</v>
      </c>
      <c r="D67" s="21"/>
      <c r="E67" s="82">
        <f t="shared" si="10"/>
        <v>552.66545301778467</v>
      </c>
      <c r="F67" s="84">
        <f t="shared" si="15"/>
        <v>-1.3160579473576791E-2</v>
      </c>
      <c r="G67" s="82">
        <f t="shared" si="11"/>
        <v>552.66545301778467</v>
      </c>
      <c r="H67" s="84">
        <f t="shared" si="12"/>
        <v>-1.3160579473576791E-2</v>
      </c>
      <c r="I67" s="85">
        <f t="shared" si="16"/>
        <v>-1.3160579473576791E-2</v>
      </c>
      <c r="N67" s="18"/>
      <c r="O67" s="12">
        <f t="shared" si="13"/>
        <v>202</v>
      </c>
      <c r="P67" s="12">
        <f t="shared" si="14"/>
        <v>710</v>
      </c>
    </row>
    <row r="68" spans="1:16" x14ac:dyDescent="0.25">
      <c r="A68" s="81">
        <v>2008</v>
      </c>
      <c r="B68" s="21">
        <f>IF($B$3="Trawl",Indices!B12,Indices!C12)</f>
        <v>10264</v>
      </c>
      <c r="C68" s="22">
        <f t="shared" si="9"/>
        <v>1.4373337067637586</v>
      </c>
      <c r="D68" s="21"/>
      <c r="E68" s="82">
        <f t="shared" si="10"/>
        <v>586.4321523596135</v>
      </c>
      <c r="F68" s="84">
        <f t="shared" si="15"/>
        <v>6.1097901374961135E-2</v>
      </c>
      <c r="G68" s="82">
        <f t="shared" si="11"/>
        <v>586.4321523596135</v>
      </c>
      <c r="H68" s="84">
        <f t="shared" si="12"/>
        <v>6.1097901374961135E-2</v>
      </c>
      <c r="I68" s="85">
        <f t="shared" si="16"/>
        <v>6.1097901374961135E-2</v>
      </c>
      <c r="N68" s="18"/>
      <c r="O68" s="12">
        <f t="shared" si="13"/>
        <v>202</v>
      </c>
      <c r="P68" s="12">
        <f t="shared" si="14"/>
        <v>710</v>
      </c>
    </row>
    <row r="69" spans="1:16" x14ac:dyDescent="0.25">
      <c r="A69" s="81">
        <v>2009</v>
      </c>
      <c r="B69" s="21">
        <f>IF($B$3="Trawl",Indices!B13,Indices!C13)</f>
        <v>9834</v>
      </c>
      <c r="C69" s="22">
        <f t="shared" si="9"/>
        <v>1.3771180506931802</v>
      </c>
      <c r="D69" s="21"/>
      <c r="E69" s="82">
        <f t="shared" si="10"/>
        <v>561.86416468281755</v>
      </c>
      <c r="F69" s="84">
        <f t="shared" si="15"/>
        <v>-4.1893998441153518E-2</v>
      </c>
      <c r="G69" s="82">
        <f t="shared" si="11"/>
        <v>561.86416468281755</v>
      </c>
      <c r="H69" s="84">
        <f t="shared" si="12"/>
        <v>-4.1893998441153518E-2</v>
      </c>
      <c r="I69" s="85">
        <f t="shared" si="16"/>
        <v>-4.1893998441153518E-2</v>
      </c>
      <c r="N69" s="18"/>
      <c r="O69" s="12">
        <f t="shared" si="13"/>
        <v>202</v>
      </c>
      <c r="P69" s="12">
        <f t="shared" si="14"/>
        <v>710</v>
      </c>
    </row>
    <row r="70" spans="1:16" x14ac:dyDescent="0.25">
      <c r="A70" s="81">
        <v>2010</v>
      </c>
      <c r="B70" s="21">
        <f>IF($B$3="Trawl",Indices!B14,Indices!C14)</f>
        <v>9146</v>
      </c>
      <c r="C70" s="22">
        <f t="shared" si="9"/>
        <v>1.2807730009802549</v>
      </c>
      <c r="D70" s="21"/>
      <c r="E70" s="82">
        <f t="shared" si="10"/>
        <v>522.55538439994405</v>
      </c>
      <c r="F70" s="84">
        <f t="shared" si="15"/>
        <v>-6.9961358551962491E-2</v>
      </c>
      <c r="G70" s="82">
        <f t="shared" si="11"/>
        <v>522.55538439994405</v>
      </c>
      <c r="H70" s="84">
        <f t="shared" si="12"/>
        <v>-6.9961358551962491E-2</v>
      </c>
      <c r="I70" s="85">
        <f t="shared" si="16"/>
        <v>-6.9961358551962491E-2</v>
      </c>
      <c r="N70" s="18"/>
      <c r="O70" s="12">
        <f t="shared" si="13"/>
        <v>202</v>
      </c>
      <c r="P70" s="12">
        <f t="shared" si="14"/>
        <v>710</v>
      </c>
    </row>
    <row r="71" spans="1:16" x14ac:dyDescent="0.25">
      <c r="A71" s="81">
        <v>2011</v>
      </c>
      <c r="B71" s="21">
        <f>IF($B$3="Trawl",Indices!B15,Indices!C15)</f>
        <v>8669</v>
      </c>
      <c r="C71" s="22">
        <f t="shared" si="9"/>
        <v>1.2139756336647529</v>
      </c>
      <c r="D71" s="21"/>
      <c r="E71" s="82">
        <f t="shared" si="10"/>
        <v>495.3020585352192</v>
      </c>
      <c r="F71" s="84">
        <f t="shared" si="15"/>
        <v>-5.2153947080691036E-2</v>
      </c>
      <c r="G71" s="82">
        <f t="shared" si="11"/>
        <v>495.3020585352192</v>
      </c>
      <c r="H71" s="84">
        <f t="shared" si="12"/>
        <v>-5.2153947080691036E-2</v>
      </c>
      <c r="I71" s="85">
        <f t="shared" si="16"/>
        <v>-5.2153947080691036E-2</v>
      </c>
      <c r="N71" s="18"/>
      <c r="O71" s="12">
        <f t="shared" si="13"/>
        <v>202</v>
      </c>
      <c r="P71" s="12">
        <f t="shared" si="14"/>
        <v>710</v>
      </c>
    </row>
    <row r="72" spans="1:16" x14ac:dyDescent="0.25">
      <c r="A72" s="81">
        <v>2012</v>
      </c>
      <c r="B72" s="21">
        <f>IF($B$3="Trawl",Indices!B16,Indices!C16)</f>
        <v>8403</v>
      </c>
      <c r="C72" s="22">
        <f t="shared" si="9"/>
        <v>1.1767259487466741</v>
      </c>
      <c r="D72" s="21"/>
      <c r="E72" s="82">
        <f t="shared" si="10"/>
        <v>480.10418708864307</v>
      </c>
      <c r="F72" s="84">
        <f t="shared" si="15"/>
        <v>-3.0684046602837734E-2</v>
      </c>
      <c r="G72" s="82">
        <f t="shared" si="11"/>
        <v>480.10418708864307</v>
      </c>
      <c r="H72" s="84">
        <f t="shared" si="12"/>
        <v>-3.0684046602837734E-2</v>
      </c>
      <c r="I72" s="85">
        <f t="shared" si="16"/>
        <v>-3.0684046602837734E-2</v>
      </c>
      <c r="N72" s="18"/>
      <c r="O72" s="12">
        <f t="shared" si="13"/>
        <v>202</v>
      </c>
      <c r="P72" s="12">
        <f t="shared" si="14"/>
        <v>710</v>
      </c>
    </row>
    <row r="73" spans="1:16" x14ac:dyDescent="0.25">
      <c r="A73" s="81">
        <v>2013</v>
      </c>
      <c r="B73" s="21">
        <f>IF($B$3="Trawl",Indices!B17,Indices!C17)</f>
        <v>7989</v>
      </c>
      <c r="C73" s="22">
        <f t="shared" si="9"/>
        <v>1.1187508752275592</v>
      </c>
      <c r="D73" s="21"/>
      <c r="E73" s="82">
        <f t="shared" si="10"/>
        <v>456.45035709284417</v>
      </c>
      <c r="F73" s="84">
        <f t="shared" si="15"/>
        <v>-4.9268118529096731E-2</v>
      </c>
      <c r="G73" s="82">
        <f t="shared" si="11"/>
        <v>456.45035709284417</v>
      </c>
      <c r="H73" s="84">
        <f t="shared" si="12"/>
        <v>-4.9268118529096731E-2</v>
      </c>
      <c r="I73" s="85">
        <f t="shared" si="16"/>
        <v>-4.9268118529096731E-2</v>
      </c>
      <c r="N73" s="18"/>
      <c r="O73" s="12">
        <f t="shared" si="13"/>
        <v>202</v>
      </c>
      <c r="P73" s="12">
        <f t="shared" si="14"/>
        <v>710</v>
      </c>
    </row>
    <row r="74" spans="1:16" x14ac:dyDescent="0.25">
      <c r="A74" s="81">
        <v>2014</v>
      </c>
      <c r="B74" s="21">
        <f>IF($B$3="Trawl",Indices!B18,Indices!C18)</f>
        <v>7995</v>
      </c>
      <c r="C74" s="22">
        <f t="shared" si="9"/>
        <v>1.1195910936843578</v>
      </c>
      <c r="D74" s="21"/>
      <c r="E74" s="82">
        <f t="shared" si="10"/>
        <v>456.79316622321801</v>
      </c>
      <c r="F74" s="84">
        <f t="shared" si="15"/>
        <v>7.5103266992100951E-4</v>
      </c>
      <c r="G74" s="82">
        <f t="shared" si="11"/>
        <v>456.79316622321801</v>
      </c>
      <c r="H74" s="84">
        <f t="shared" si="12"/>
        <v>7.5103266992100951E-4</v>
      </c>
      <c r="I74" s="85">
        <f t="shared" si="16"/>
        <v>7.5103266992100951E-4</v>
      </c>
      <c r="N74" s="18"/>
      <c r="O74" s="12">
        <f t="shared" si="13"/>
        <v>202</v>
      </c>
      <c r="P74" s="12">
        <f t="shared" si="14"/>
        <v>710</v>
      </c>
    </row>
    <row r="75" spans="1:16" x14ac:dyDescent="0.25">
      <c r="A75" s="81">
        <v>2015</v>
      </c>
      <c r="B75" s="21">
        <f>IF($B$3="Trawl",Indices!B19,Indices!C19)</f>
        <v>8130</v>
      </c>
      <c r="C75" s="22">
        <f t="shared" si="9"/>
        <v>1.1384960089623302</v>
      </c>
      <c r="D75" s="21"/>
      <c r="E75" s="82">
        <f t="shared" si="10"/>
        <v>464.50637165663073</v>
      </c>
      <c r="F75" s="84">
        <f t="shared" si="15"/>
        <v>1.6885553470919409E-2</v>
      </c>
      <c r="G75" s="82">
        <f t="shared" si="11"/>
        <v>464.50637165663073</v>
      </c>
      <c r="H75" s="84">
        <f t="shared" si="12"/>
        <v>1.6885553470919409E-2</v>
      </c>
      <c r="I75" s="85">
        <f t="shared" si="16"/>
        <v>1.6885553470919409E-2</v>
      </c>
      <c r="N75" s="18"/>
      <c r="O75" s="12">
        <f t="shared" si="13"/>
        <v>202</v>
      </c>
      <c r="P75" s="12">
        <f t="shared" si="14"/>
        <v>710</v>
      </c>
    </row>
    <row r="76" spans="1:16" x14ac:dyDescent="0.25">
      <c r="A76" s="81">
        <v>2016</v>
      </c>
      <c r="B76" s="21">
        <f>IF($B$3="Trawl",Indices!B20,Indices!C20)</f>
        <v>7826</v>
      </c>
      <c r="C76" s="22">
        <f t="shared" si="9"/>
        <v>1.0959249404845259</v>
      </c>
      <c r="D76" s="21"/>
      <c r="E76" s="82">
        <f t="shared" si="10"/>
        <v>447.13737571768661</v>
      </c>
      <c r="F76" s="84">
        <f t="shared" si="15"/>
        <v>-3.7392373923739231E-2</v>
      </c>
      <c r="G76" s="82">
        <f t="shared" si="11"/>
        <v>447.13737571768661</v>
      </c>
      <c r="H76" s="84">
        <f t="shared" si="12"/>
        <v>-3.7392373923739231E-2</v>
      </c>
      <c r="I76" s="85">
        <f t="shared" si="16"/>
        <v>-3.7392373923739231E-2</v>
      </c>
      <c r="N76" s="18"/>
      <c r="O76" s="12">
        <f t="shared" si="13"/>
        <v>202</v>
      </c>
      <c r="P76" s="12">
        <f t="shared" si="14"/>
        <v>710</v>
      </c>
    </row>
    <row r="77" spans="1:16" x14ac:dyDescent="0.25">
      <c r="A77" s="81">
        <v>2017</v>
      </c>
      <c r="B77" s="21">
        <f>IF($B$3="Trawl",Indices!B21,Indices!C21)</f>
        <v>7250</v>
      </c>
      <c r="C77" s="22">
        <f t="shared" si="9"/>
        <v>1.0152639686318443</v>
      </c>
      <c r="D77" s="21"/>
      <c r="E77" s="82">
        <f t="shared" si="10"/>
        <v>414.22769920179246</v>
      </c>
      <c r="F77" s="84">
        <f t="shared" si="15"/>
        <v>-7.3600817786864337E-2</v>
      </c>
      <c r="G77" s="82">
        <f t="shared" si="11"/>
        <v>414.22769920179246</v>
      </c>
      <c r="H77" s="84">
        <f t="shared" si="12"/>
        <v>-7.3600817786864337E-2</v>
      </c>
      <c r="I77" s="85">
        <f t="shared" si="16"/>
        <v>-7.3600817786864337E-2</v>
      </c>
      <c r="N77" s="18"/>
      <c r="O77" s="12">
        <f t="shared" si="13"/>
        <v>202</v>
      </c>
      <c r="P77" s="12">
        <f t="shared" si="14"/>
        <v>710</v>
      </c>
    </row>
    <row r="78" spans="1:16" x14ac:dyDescent="0.25">
      <c r="A78" s="81">
        <v>2018</v>
      </c>
      <c r="B78" s="21">
        <f>IF($B$3="Trawl",Indices!B22,Indices!C22)</f>
        <v>7141</v>
      </c>
      <c r="C78" s="22">
        <f t="shared" si="9"/>
        <v>1</v>
      </c>
      <c r="D78" s="21"/>
      <c r="E78" s="82">
        <f t="shared" si="10"/>
        <v>408</v>
      </c>
      <c r="F78" s="84">
        <f t="shared" si="15"/>
        <v>-1.5034482758620678E-2</v>
      </c>
      <c r="G78" s="82">
        <f t="shared" si="11"/>
        <v>408</v>
      </c>
      <c r="H78" s="84">
        <f t="shared" si="12"/>
        <v>-1.5034482758620678E-2</v>
      </c>
      <c r="I78" s="85">
        <f t="shared" si="16"/>
        <v>-1.5034482758620678E-2</v>
      </c>
      <c r="O78" s="12">
        <f t="shared" si="13"/>
        <v>202</v>
      </c>
      <c r="P78" s="12">
        <f t="shared" si="14"/>
        <v>710</v>
      </c>
    </row>
    <row r="79" spans="1:16" x14ac:dyDescent="0.25">
      <c r="A79" s="81"/>
      <c r="B79" s="21"/>
      <c r="C79" s="21"/>
      <c r="D79" s="21"/>
      <c r="E79" s="21"/>
      <c r="F79" s="21"/>
      <c r="G79" s="21"/>
      <c r="H79" s="65"/>
      <c r="I79" s="83"/>
      <c r="N79" s="18"/>
    </row>
    <row r="80" spans="1:16" ht="15.75" thickBot="1" x14ac:dyDescent="0.3">
      <c r="A80" s="86" t="s">
        <v>13</v>
      </c>
      <c r="B80" s="87">
        <v>9000</v>
      </c>
      <c r="C80" s="91">
        <f t="shared" si="9"/>
        <v>1.2603276851981515</v>
      </c>
      <c r="D80" s="87"/>
      <c r="E80" s="88">
        <f>MIN($G$4,MAX($H$4,(1-(1-C80)*1)*$F$4))</f>
        <v>514.21369556084585</v>
      </c>
      <c r="F80" s="89">
        <f>(E80-E77)/E77</f>
        <v>0.24137931034482768</v>
      </c>
      <c r="G80" s="88">
        <f>IF(ABS(H80)&gt;$H$8,G77*(1+SIGN(H80)*$H$8),E80)</f>
        <v>476.36185408206131</v>
      </c>
      <c r="H80" s="89">
        <f>(E80-G77)/G77</f>
        <v>0.24137931034482768</v>
      </c>
      <c r="I80" s="90">
        <f>(G80-G77)/G77</f>
        <v>0.14999999999999997</v>
      </c>
      <c r="N80" s="18"/>
    </row>
  </sheetData>
  <mergeCells count="4">
    <mergeCell ref="A6:B6"/>
    <mergeCell ref="D7:E7"/>
    <mergeCell ref="G7:H7"/>
    <mergeCell ref="A10:C10"/>
  </mergeCells>
  <conditionalFormatting sqref="AB33:BC51 R55:BC56 AB53:BC54 O79:AZ94 Q57:AZ60 Q62:AZ78">
    <cfRule type="colorScale" priority="9">
      <colorScale>
        <cfvo type="min"/>
        <cfvo type="percentile" val="50"/>
        <cfvo type="max"/>
        <color rgb="FFF8696B"/>
        <color rgb="FFFFEB84"/>
        <color rgb="FF63BE7B"/>
      </colorScale>
    </cfRule>
  </conditionalFormatting>
  <conditionalFormatting sqref="E54 E32:E52">
    <cfRule type="expression" dxfId="41" priority="10">
      <formula>E32&lt;=$H$3</formula>
    </cfRule>
    <cfRule type="expression" dxfId="40" priority="11">
      <formula>E32&gt;=$G$3</formula>
    </cfRule>
  </conditionalFormatting>
  <conditionalFormatting sqref="E59:E78 E80">
    <cfRule type="expression" dxfId="39" priority="7">
      <formula>E59&lt;=$H$4</formula>
    </cfRule>
    <cfRule type="expression" dxfId="38" priority="8">
      <formula>E59&gt;=$G$4</formula>
    </cfRule>
  </conditionalFormatting>
  <conditionalFormatting sqref="G54 G32:G52">
    <cfRule type="expression" dxfId="37" priority="5">
      <formula>G32&lt;=$H$3</formula>
    </cfRule>
    <cfRule type="expression" dxfId="36" priority="6">
      <formula>G32&gt;=$G$3</formula>
    </cfRule>
  </conditionalFormatting>
  <conditionalFormatting sqref="G58:G78 G80">
    <cfRule type="expression" dxfId="35" priority="3">
      <formula>G58&lt;=$H$4</formula>
    </cfRule>
    <cfRule type="expression" dxfId="34" priority="4">
      <formula>G58&gt;=$G$4</formula>
    </cfRule>
  </conditionalFormatting>
  <conditionalFormatting sqref="E58">
    <cfRule type="expression" dxfId="33" priority="1">
      <formula>E58&lt;=$H$3</formula>
    </cfRule>
    <cfRule type="expression" dxfId="32" priority="2">
      <formula>E58&gt;=$G$3</formula>
    </cfRule>
  </conditionalFormatting>
  <pageMargins left="0.7" right="0.7" top="0.75" bottom="0.75" header="0.3" footer="0.3"/>
  <pageSetup orientation="portrait" horizontalDpi="0"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80"/>
  <sheetViews>
    <sheetView zoomScale="90" zoomScaleNormal="90" workbookViewId="0">
      <selection activeCell="I33" sqref="I33"/>
    </sheetView>
  </sheetViews>
  <sheetFormatPr defaultRowHeight="15" x14ac:dyDescent="0.25"/>
  <cols>
    <col min="1" max="1" width="14.28515625" style="3" customWidth="1"/>
    <col min="2" max="8" width="14.28515625" style="2" customWidth="1"/>
    <col min="9" max="9" width="12.28515625" style="2" customWidth="1"/>
    <col min="10" max="10" width="11" customWidth="1"/>
    <col min="11" max="11" width="13.28515625" customWidth="1"/>
    <col min="12" max="12" width="16.28515625" customWidth="1"/>
  </cols>
  <sheetData>
    <row r="1" spans="1:11" x14ac:dyDescent="0.25">
      <c r="A1" s="66" t="s">
        <v>50</v>
      </c>
      <c r="B1" s="63" t="s">
        <v>23</v>
      </c>
      <c r="C1" s="64" t="s">
        <v>66</v>
      </c>
      <c r="E1" s="69"/>
      <c r="F1" s="46" t="s">
        <v>1</v>
      </c>
      <c r="G1" s="46" t="s">
        <v>3</v>
      </c>
      <c r="H1" s="47" t="s">
        <v>5</v>
      </c>
    </row>
    <row r="2" spans="1:11" x14ac:dyDescent="0.25">
      <c r="A2" s="67" t="s">
        <v>20</v>
      </c>
      <c r="B2" s="96" t="s">
        <v>20</v>
      </c>
      <c r="C2" s="97" t="str">
        <f>IF(B2="Trawl","Setline","Trawl")</f>
        <v>Setline</v>
      </c>
      <c r="E2" s="43" t="s">
        <v>64</v>
      </c>
      <c r="F2" s="39" t="s">
        <v>2</v>
      </c>
      <c r="G2" s="39" t="s">
        <v>4</v>
      </c>
      <c r="H2" s="42" t="s">
        <v>6</v>
      </c>
    </row>
    <row r="3" spans="1:11" x14ac:dyDescent="0.25">
      <c r="A3" s="68" t="s">
        <v>49</v>
      </c>
      <c r="B3" s="98" t="s">
        <v>21</v>
      </c>
      <c r="C3" s="99" t="str">
        <f>IF(B3="Trawl","Setline","Trawl")</f>
        <v>Trawl</v>
      </c>
      <c r="E3" s="44" t="s">
        <v>20</v>
      </c>
      <c r="F3" s="40">
        <v>2805</v>
      </c>
      <c r="G3" s="40">
        <v>3532</v>
      </c>
      <c r="H3" s="35">
        <v>1403</v>
      </c>
    </row>
    <row r="4" spans="1:11" x14ac:dyDescent="0.25">
      <c r="A4" s="10"/>
      <c r="B4"/>
      <c r="C4"/>
      <c r="E4" s="45" t="s">
        <v>49</v>
      </c>
      <c r="F4" s="41">
        <v>710</v>
      </c>
      <c r="G4" s="40">
        <v>894</v>
      </c>
      <c r="H4" s="35">
        <v>355</v>
      </c>
      <c r="I4"/>
    </row>
    <row r="5" spans="1:11" x14ac:dyDescent="0.25">
      <c r="A5"/>
      <c r="B5"/>
      <c r="C5"/>
      <c r="D5"/>
      <c r="E5" s="70" t="s">
        <v>58</v>
      </c>
      <c r="F5" s="50">
        <f>SUM(F3:F4)</f>
        <v>3515</v>
      </c>
      <c r="G5" s="51">
        <f>SUM(G3:G4)</f>
        <v>4426</v>
      </c>
      <c r="H5" s="52">
        <f>SUM(H3:H4)</f>
        <v>1758</v>
      </c>
      <c r="I5"/>
    </row>
    <row r="6" spans="1:11" x14ac:dyDescent="0.25">
      <c r="A6" s="177" t="s">
        <v>16</v>
      </c>
      <c r="B6" s="178"/>
      <c r="C6"/>
      <c r="D6"/>
      <c r="E6"/>
      <c r="F6"/>
      <c r="G6"/>
      <c r="H6"/>
      <c r="I6"/>
      <c r="J6" s="3"/>
      <c r="K6" s="2"/>
    </row>
    <row r="7" spans="1:11" x14ac:dyDescent="0.25">
      <c r="A7" s="71" t="s">
        <v>9</v>
      </c>
      <c r="B7" s="35">
        <v>0.75</v>
      </c>
      <c r="C7"/>
      <c r="D7" s="177" t="s">
        <v>17</v>
      </c>
      <c r="E7" s="178"/>
      <c r="F7"/>
      <c r="G7" s="179" t="s">
        <v>63</v>
      </c>
      <c r="H7" s="180"/>
      <c r="I7"/>
      <c r="J7" s="3"/>
      <c r="K7" s="2"/>
    </row>
    <row r="8" spans="1:11" x14ac:dyDescent="0.25">
      <c r="A8" s="72" t="s">
        <v>10</v>
      </c>
      <c r="B8" s="36">
        <v>1.25</v>
      </c>
      <c r="C8"/>
      <c r="D8" s="94" t="s">
        <v>11</v>
      </c>
      <c r="E8" s="35">
        <v>1</v>
      </c>
      <c r="F8"/>
      <c r="G8" s="73" t="s">
        <v>59</v>
      </c>
      <c r="H8" s="75">
        <v>0.15</v>
      </c>
      <c r="I8"/>
      <c r="J8" s="3"/>
      <c r="K8" s="2"/>
    </row>
    <row r="9" spans="1:11" x14ac:dyDescent="0.25">
      <c r="A9"/>
      <c r="B9"/>
      <c r="C9"/>
      <c r="D9" s="95" t="s">
        <v>12</v>
      </c>
      <c r="E9" s="36">
        <v>1</v>
      </c>
      <c r="F9"/>
      <c r="G9" s="74" t="s">
        <v>60</v>
      </c>
      <c r="H9" s="76">
        <v>0.15</v>
      </c>
      <c r="I9"/>
      <c r="J9" s="3"/>
      <c r="K9" s="3"/>
    </row>
    <row r="10" spans="1:11" ht="15" customHeight="1" x14ac:dyDescent="0.25">
      <c r="A10" s="172" t="s">
        <v>65</v>
      </c>
      <c r="B10" s="173"/>
      <c r="C10" s="174"/>
      <c r="I10"/>
    </row>
    <row r="11" spans="1:11" x14ac:dyDescent="0.25">
      <c r="A11" s="55"/>
      <c r="B11" s="56" t="s">
        <v>18</v>
      </c>
      <c r="C11" s="57" t="s">
        <v>19</v>
      </c>
    </row>
    <row r="12" spans="1:11" ht="15" customHeight="1" x14ac:dyDescent="0.25">
      <c r="A12" s="53" t="s">
        <v>20</v>
      </c>
      <c r="B12" s="40">
        <v>2018</v>
      </c>
      <c r="C12" s="35">
        <v>2018</v>
      </c>
      <c r="D12" s="11">
        <f>VLOOKUP(B12,A32:D52,2)</f>
        <v>125702</v>
      </c>
      <c r="E12" s="11">
        <f>IF(C12="Mean",AVERAGE(D32:D52),VLOOKUP(C12,A32:D52,4))</f>
        <v>7141</v>
      </c>
      <c r="G12"/>
      <c r="H12"/>
      <c r="I12"/>
    </row>
    <row r="13" spans="1:11" x14ac:dyDescent="0.25">
      <c r="A13" s="54" t="s">
        <v>49</v>
      </c>
      <c r="B13" s="41">
        <v>2018</v>
      </c>
      <c r="C13" s="36">
        <v>2018</v>
      </c>
      <c r="D13" s="11">
        <f>VLOOKUP(B13,A58:D78,2)</f>
        <v>7141</v>
      </c>
      <c r="E13" s="11">
        <f>IF(C13="Mean",AVERAGE(D58:D78),VLOOKUP(C13,A58:D78,4))</f>
        <v>125702</v>
      </c>
      <c r="G13"/>
      <c r="H13"/>
      <c r="I13"/>
    </row>
    <row r="14" spans="1:11" x14ac:dyDescent="0.25">
      <c r="A14"/>
      <c r="B14"/>
      <c r="C14"/>
      <c r="D14"/>
      <c r="E14"/>
      <c r="F14"/>
      <c r="G14"/>
      <c r="H14"/>
      <c r="I14"/>
    </row>
    <row r="15" spans="1:11" x14ac:dyDescent="0.25">
      <c r="A15"/>
      <c r="B15"/>
      <c r="C15"/>
      <c r="D15"/>
      <c r="E15"/>
      <c r="F15"/>
      <c r="G15"/>
      <c r="H15"/>
      <c r="I15"/>
    </row>
    <row r="16" spans="1:11" x14ac:dyDescent="0.25">
      <c r="A16"/>
      <c r="B16"/>
      <c r="C16"/>
      <c r="D16"/>
      <c r="E16"/>
      <c r="F16"/>
      <c r="G16"/>
      <c r="H16"/>
      <c r="I16"/>
    </row>
    <row r="17" spans="1:16" x14ac:dyDescent="0.25">
      <c r="A17"/>
      <c r="B17"/>
      <c r="C17"/>
      <c r="D17"/>
      <c r="E17"/>
      <c r="F17"/>
      <c r="G17"/>
      <c r="H17"/>
      <c r="I17"/>
    </row>
    <row r="18" spans="1:16" x14ac:dyDescent="0.25">
      <c r="A18"/>
      <c r="B18"/>
      <c r="C18"/>
      <c r="D18"/>
      <c r="E18"/>
      <c r="F18"/>
      <c r="G18"/>
      <c r="H18"/>
      <c r="I18"/>
    </row>
    <row r="19" spans="1:16" x14ac:dyDescent="0.25">
      <c r="A19"/>
      <c r="B19"/>
      <c r="C19"/>
      <c r="D19"/>
      <c r="E19"/>
      <c r="F19"/>
      <c r="G19"/>
      <c r="H19"/>
      <c r="I19"/>
    </row>
    <row r="20" spans="1:16" x14ac:dyDescent="0.25">
      <c r="A20"/>
      <c r="B20"/>
      <c r="C20"/>
      <c r="D20"/>
      <c r="E20"/>
      <c r="F20"/>
      <c r="G20"/>
      <c r="H20"/>
      <c r="I20"/>
    </row>
    <row r="21" spans="1:16" x14ac:dyDescent="0.25">
      <c r="A21"/>
      <c r="B21"/>
      <c r="C21"/>
      <c r="D21"/>
      <c r="E21"/>
      <c r="F21"/>
      <c r="G21"/>
      <c r="H21"/>
      <c r="I21"/>
    </row>
    <row r="22" spans="1:16" x14ac:dyDescent="0.25">
      <c r="A22"/>
      <c r="B22"/>
      <c r="C22"/>
      <c r="D22"/>
      <c r="E22"/>
      <c r="F22"/>
      <c r="G22"/>
      <c r="H22"/>
      <c r="I22"/>
    </row>
    <row r="23" spans="1:16" x14ac:dyDescent="0.25">
      <c r="A23"/>
      <c r="B23"/>
      <c r="C23"/>
      <c r="D23"/>
      <c r="E23"/>
      <c r="F23"/>
      <c r="G23"/>
      <c r="H23"/>
      <c r="I23"/>
    </row>
    <row r="24" spans="1:16" x14ac:dyDescent="0.25">
      <c r="A24"/>
      <c r="B24"/>
      <c r="C24"/>
      <c r="D24"/>
      <c r="E24"/>
      <c r="F24"/>
      <c r="G24"/>
      <c r="H24"/>
      <c r="I24"/>
    </row>
    <row r="25" spans="1:16" x14ac:dyDescent="0.25">
      <c r="A25"/>
      <c r="B25"/>
      <c r="C25"/>
      <c r="D25"/>
      <c r="E25"/>
      <c r="F25"/>
      <c r="G25"/>
      <c r="H25"/>
      <c r="I25"/>
    </row>
    <row r="26" spans="1:16" x14ac:dyDescent="0.25">
      <c r="A26"/>
      <c r="B26"/>
      <c r="C26"/>
      <c r="D26"/>
      <c r="E26"/>
      <c r="F26"/>
      <c r="G26"/>
      <c r="H26"/>
      <c r="I26"/>
    </row>
    <row r="27" spans="1:16" x14ac:dyDescent="0.25">
      <c r="A27"/>
      <c r="B27"/>
      <c r="C27"/>
      <c r="D27"/>
      <c r="E27"/>
      <c r="F27"/>
      <c r="G27"/>
      <c r="H27"/>
      <c r="I27"/>
    </row>
    <row r="28" spans="1:16" x14ac:dyDescent="0.25">
      <c r="A28"/>
      <c r="B28"/>
      <c r="C28"/>
      <c r="D28"/>
      <c r="E28"/>
      <c r="F28"/>
      <c r="G28"/>
      <c r="H28"/>
      <c r="I28"/>
    </row>
    <row r="29" spans="1:16" ht="15.75" thickBot="1" x14ac:dyDescent="0.3">
      <c r="A29"/>
      <c r="B29"/>
      <c r="C29"/>
      <c r="D29"/>
      <c r="E29"/>
      <c r="F29"/>
      <c r="G29"/>
      <c r="H29"/>
      <c r="I29"/>
    </row>
    <row r="30" spans="1:16" x14ac:dyDescent="0.25">
      <c r="A30" s="181" t="s">
        <v>67</v>
      </c>
      <c r="B30" s="182"/>
      <c r="C30" s="182"/>
      <c r="D30" s="182"/>
      <c r="E30" s="182"/>
      <c r="F30" s="182"/>
      <c r="G30" s="182"/>
      <c r="H30" s="182"/>
      <c r="I30" s="182"/>
      <c r="J30" s="182"/>
      <c r="K30" s="183"/>
    </row>
    <row r="31" spans="1:16" ht="45" x14ac:dyDescent="0.25">
      <c r="A31" s="77" t="s">
        <v>0</v>
      </c>
      <c r="B31" s="78" t="s">
        <v>38</v>
      </c>
      <c r="C31" s="78" t="s">
        <v>7</v>
      </c>
      <c r="D31" s="78" t="s">
        <v>39</v>
      </c>
      <c r="E31" s="78" t="s">
        <v>8</v>
      </c>
      <c r="F31" s="65"/>
      <c r="G31" s="78" t="s">
        <v>27</v>
      </c>
      <c r="H31" s="79" t="s">
        <v>26</v>
      </c>
      <c r="I31" s="78" t="s">
        <v>40</v>
      </c>
      <c r="J31" s="79" t="s">
        <v>28</v>
      </c>
      <c r="K31" s="80" t="s">
        <v>29</v>
      </c>
      <c r="L31" s="1"/>
      <c r="N31" s="17" t="s">
        <v>22</v>
      </c>
      <c r="O31" s="15" t="s">
        <v>6</v>
      </c>
      <c r="P31" s="15" t="s">
        <v>4</v>
      </c>
    </row>
    <row r="32" spans="1:16" x14ac:dyDescent="0.25">
      <c r="A32" s="81">
        <v>1998</v>
      </c>
      <c r="B32" s="21">
        <f>IF($B$2="Trawl",Indices!B2,Indices!C2)</f>
        <v>161256</v>
      </c>
      <c r="C32" s="22">
        <f t="shared" ref="C32:C52" si="0">B32/D$12</f>
        <v>1.2828435506197196</v>
      </c>
      <c r="D32" s="21">
        <f>IF($C$2="Trawl",Indices!B2,Indices!C2)</f>
        <v>18502</v>
      </c>
      <c r="E32" s="22">
        <f>D32/E$12</f>
        <v>2.5909536479484667</v>
      </c>
      <c r="F32" s="65"/>
      <c r="G32" s="82">
        <f t="shared" ref="G32:G52" si="1">MIN($G$3,MAX($H$3,$F$3*(1-1*(1-(C32+N32)))))</f>
        <v>3532</v>
      </c>
      <c r="H32" s="65"/>
      <c r="I32" s="82">
        <f>G32</f>
        <v>3532</v>
      </c>
      <c r="J32" s="65"/>
      <c r="K32" s="83"/>
      <c r="L32" s="2"/>
      <c r="N32" s="18">
        <f t="shared" ref="N32:N51" si="2">IF(E32&lt;$B$7,$E$8*(E32-$B$7),IF(E32&gt;$B$8,$E$9*(E32-$B$8),0))</f>
        <v>1.3409536479484667</v>
      </c>
      <c r="O32" s="15">
        <f t="shared" ref="O32:O51" si="3">$H$3</f>
        <v>1403</v>
      </c>
      <c r="P32" s="15">
        <f t="shared" ref="P32:P51" si="4">$G$3</f>
        <v>3532</v>
      </c>
    </row>
    <row r="33" spans="1:16" x14ac:dyDescent="0.25">
      <c r="A33" s="81">
        <v>1999</v>
      </c>
      <c r="B33" s="21">
        <f>IF($B$2="Trawl",Indices!B3,Indices!C3)</f>
        <v>129116</v>
      </c>
      <c r="C33" s="22">
        <f t="shared" si="0"/>
        <v>1.0271594724029849</v>
      </c>
      <c r="D33" s="21">
        <f>IF($C$2="Trawl",Indices!B3,Indices!C3)</f>
        <v>16201</v>
      </c>
      <c r="E33" s="22">
        <f t="shared" ref="E33:E52" si="5">D33/E$12</f>
        <v>2.2687298697661391</v>
      </c>
      <c r="F33" s="65"/>
      <c r="G33" s="82">
        <f t="shared" si="1"/>
        <v>3532</v>
      </c>
      <c r="H33" s="84">
        <f>(G33-G32)/G32</f>
        <v>0</v>
      </c>
      <c r="I33" s="82">
        <f t="shared" ref="I33:I52" si="6">IF(J33&gt;0,IF(ABS(J33)&gt;$H$8,I32*(1+SIGN(J33)*$H$8),G33),IF(ABS(J33)&gt;$H$9,I32*(1+SIGN(J33)*$H$9),G33))</f>
        <v>3532</v>
      </c>
      <c r="J33" s="84">
        <f t="shared" ref="J33:J52" si="7">(G33-I32)/I32</f>
        <v>0</v>
      </c>
      <c r="K33" s="85">
        <f>(I33-I32)/I32</f>
        <v>0</v>
      </c>
      <c r="L33" s="2"/>
      <c r="N33" s="18">
        <f t="shared" si="2"/>
        <v>1.0187298697661391</v>
      </c>
      <c r="O33" s="15">
        <f t="shared" si="3"/>
        <v>1403</v>
      </c>
      <c r="P33" s="15">
        <f t="shared" si="4"/>
        <v>3532</v>
      </c>
    </row>
    <row r="34" spans="1:16" x14ac:dyDescent="0.25">
      <c r="A34" s="81">
        <v>2000</v>
      </c>
      <c r="B34" s="21">
        <f>IF($B$2="Trawl",Indices!B4,Indices!C4)</f>
        <v>118677</v>
      </c>
      <c r="C34" s="22">
        <f t="shared" si="0"/>
        <v>0.94411385658143865</v>
      </c>
      <c r="D34" s="21">
        <f>IF($C$2="Trawl",Indices!B4,Indices!C4)</f>
        <v>16203</v>
      </c>
      <c r="E34" s="22">
        <f t="shared" si="5"/>
        <v>2.2690099425850723</v>
      </c>
      <c r="F34" s="65"/>
      <c r="G34" s="82">
        <f t="shared" si="1"/>
        <v>3532</v>
      </c>
      <c r="H34" s="84">
        <f t="shared" ref="H34:H51" si="8">(G34-G33)/G33</f>
        <v>0</v>
      </c>
      <c r="I34" s="82">
        <f t="shared" si="6"/>
        <v>3532</v>
      </c>
      <c r="J34" s="84">
        <f t="shared" si="7"/>
        <v>0</v>
      </c>
      <c r="K34" s="85">
        <f>(I34-I33)/I33</f>
        <v>0</v>
      </c>
      <c r="L34" s="2"/>
      <c r="N34" s="18">
        <f t="shared" si="2"/>
        <v>1.0190099425850723</v>
      </c>
      <c r="O34" s="15">
        <f t="shared" si="3"/>
        <v>1403</v>
      </c>
      <c r="P34" s="15">
        <f t="shared" si="4"/>
        <v>3532</v>
      </c>
    </row>
    <row r="35" spans="1:16" x14ac:dyDescent="0.25">
      <c r="A35" s="81">
        <v>2001</v>
      </c>
      <c r="B35" s="21">
        <f>IF($B$2="Trawl",Indices!B5,Indices!C5)</f>
        <v>141219</v>
      </c>
      <c r="C35" s="22">
        <f t="shared" si="0"/>
        <v>1.1234427455410416</v>
      </c>
      <c r="D35" s="21">
        <f>IF($C$2="Trawl",Indices!B5,Indices!C5)</f>
        <v>13780</v>
      </c>
      <c r="E35" s="22">
        <f t="shared" si="5"/>
        <v>1.9297017224478363</v>
      </c>
      <c r="F35" s="65"/>
      <c r="G35" s="82">
        <f t="shared" si="1"/>
        <v>3532</v>
      </c>
      <c r="H35" s="84">
        <f t="shared" si="8"/>
        <v>0</v>
      </c>
      <c r="I35" s="82">
        <f t="shared" si="6"/>
        <v>3532</v>
      </c>
      <c r="J35" s="84">
        <f t="shared" si="7"/>
        <v>0</v>
      </c>
      <c r="K35" s="85">
        <f t="shared" ref="K35:K51" si="9">(I35-I34)/I34</f>
        <v>0</v>
      </c>
      <c r="L35" s="2"/>
      <c r="N35" s="18">
        <f t="shared" si="2"/>
        <v>0.67970172244783633</v>
      </c>
      <c r="O35" s="15">
        <f t="shared" si="3"/>
        <v>1403</v>
      </c>
      <c r="P35" s="15">
        <f t="shared" si="4"/>
        <v>3532</v>
      </c>
    </row>
    <row r="36" spans="1:16" x14ac:dyDescent="0.25">
      <c r="A36" s="81">
        <v>2002</v>
      </c>
      <c r="B36" s="21">
        <f>IF($B$2="Trawl",Indices!B6,Indices!C6)</f>
        <v>101706</v>
      </c>
      <c r="C36" s="22">
        <f t="shared" si="0"/>
        <v>0.80910407153426356</v>
      </c>
      <c r="D36" s="21">
        <f>IF($C$2="Trawl",Indices!B6,Indices!C6)</f>
        <v>12104</v>
      </c>
      <c r="E36" s="22">
        <f t="shared" si="5"/>
        <v>1.6950007001820473</v>
      </c>
      <c r="F36" s="65"/>
      <c r="G36" s="82">
        <f t="shared" si="1"/>
        <v>3517.7638846642517</v>
      </c>
      <c r="H36" s="84">
        <f t="shared" si="8"/>
        <v>-4.0306102309593172E-3</v>
      </c>
      <c r="I36" s="82">
        <f t="shared" si="6"/>
        <v>3517.7638846642517</v>
      </c>
      <c r="J36" s="84">
        <f t="shared" si="7"/>
        <v>-4.0306102309593172E-3</v>
      </c>
      <c r="K36" s="85">
        <f t="shared" si="9"/>
        <v>-4.0306102309593172E-3</v>
      </c>
      <c r="L36" s="2"/>
      <c r="N36" s="18">
        <f t="shared" si="2"/>
        <v>0.44500070018204729</v>
      </c>
      <c r="O36" s="15">
        <f t="shared" si="3"/>
        <v>1403</v>
      </c>
      <c r="P36" s="15">
        <f t="shared" si="4"/>
        <v>3532</v>
      </c>
    </row>
    <row r="37" spans="1:16" x14ac:dyDescent="0.25">
      <c r="A37" s="81">
        <v>2003</v>
      </c>
      <c r="B37" s="21">
        <f>IF($B$2="Trawl",Indices!B7,Indices!C7)</f>
        <v>132151</v>
      </c>
      <c r="C37" s="22">
        <f t="shared" si="0"/>
        <v>1.0513038774243846</v>
      </c>
      <c r="D37" s="21">
        <f>IF($C$2="Trawl",Indices!B7,Indices!C7)</f>
        <v>10866</v>
      </c>
      <c r="E37" s="22">
        <f t="shared" si="5"/>
        <v>1.5216356252625682</v>
      </c>
      <c r="F37" s="65"/>
      <c r="G37" s="82">
        <f t="shared" si="1"/>
        <v>3532</v>
      </c>
      <c r="H37" s="84">
        <f t="shared" si="8"/>
        <v>4.0469217953515539E-3</v>
      </c>
      <c r="I37" s="82">
        <f t="shared" si="6"/>
        <v>3532</v>
      </c>
      <c r="J37" s="84">
        <f t="shared" si="7"/>
        <v>4.0469217953515539E-3</v>
      </c>
      <c r="K37" s="85">
        <f t="shared" si="9"/>
        <v>4.0469217953515539E-3</v>
      </c>
      <c r="L37" s="2"/>
      <c r="N37" s="18">
        <f t="shared" si="2"/>
        <v>0.27163562526256824</v>
      </c>
      <c r="O37" s="15">
        <f t="shared" si="3"/>
        <v>1403</v>
      </c>
      <c r="P37" s="15">
        <f t="shared" si="4"/>
        <v>3532</v>
      </c>
    </row>
    <row r="38" spans="1:16" x14ac:dyDescent="0.25">
      <c r="A38" s="81">
        <v>2004</v>
      </c>
      <c r="B38" s="21">
        <f>IF($B$2="Trawl",Indices!B8,Indices!C8)</f>
        <v>130075</v>
      </c>
      <c r="C38" s="22">
        <f t="shared" si="0"/>
        <v>1.0347886270703728</v>
      </c>
      <c r="D38" s="21">
        <f>IF($C$2="Trawl",Indices!B8,Indices!C8)</f>
        <v>9987</v>
      </c>
      <c r="E38" s="22">
        <f t="shared" si="5"/>
        <v>1.3985436213415487</v>
      </c>
      <c r="F38" s="65"/>
      <c r="G38" s="82">
        <f t="shared" si="1"/>
        <v>3319.2469567954399</v>
      </c>
      <c r="H38" s="84">
        <f t="shared" si="8"/>
        <v>-6.0235855946930934E-2</v>
      </c>
      <c r="I38" s="82">
        <f t="shared" si="6"/>
        <v>3319.2469567954399</v>
      </c>
      <c r="J38" s="84">
        <f t="shared" si="7"/>
        <v>-6.0235855946930934E-2</v>
      </c>
      <c r="K38" s="85">
        <f t="shared" si="9"/>
        <v>-6.0235855946930934E-2</v>
      </c>
      <c r="L38" s="2"/>
      <c r="N38" s="18">
        <f t="shared" si="2"/>
        <v>0.14854362134154875</v>
      </c>
      <c r="O38" s="15">
        <f t="shared" si="3"/>
        <v>1403</v>
      </c>
      <c r="P38" s="15">
        <f t="shared" si="4"/>
        <v>3532</v>
      </c>
    </row>
    <row r="39" spans="1:16" x14ac:dyDescent="0.25">
      <c r="A39" s="81">
        <v>2005</v>
      </c>
      <c r="B39" s="21">
        <f>IF($B$2="Trawl",Indices!B9,Indices!C9)</f>
        <v>132518</v>
      </c>
      <c r="C39" s="22">
        <f t="shared" si="0"/>
        <v>1.0542234809310911</v>
      </c>
      <c r="D39" s="21">
        <f>IF($C$2="Trawl",Indices!B9,Indices!C9)</f>
        <v>9550</v>
      </c>
      <c r="E39" s="22">
        <f t="shared" si="5"/>
        <v>1.3373477104047051</v>
      </c>
      <c r="F39" s="65"/>
      <c r="G39" s="82">
        <f t="shared" si="1"/>
        <v>3202.1071916969086</v>
      </c>
      <c r="H39" s="84">
        <f t="shared" si="8"/>
        <v>-3.5291066504923065E-2</v>
      </c>
      <c r="I39" s="82">
        <f t="shared" si="6"/>
        <v>3202.1071916969086</v>
      </c>
      <c r="J39" s="84">
        <f t="shared" si="7"/>
        <v>-3.5291066504923065E-2</v>
      </c>
      <c r="K39" s="85">
        <f t="shared" si="9"/>
        <v>-3.5291066504923065E-2</v>
      </c>
      <c r="L39" s="2"/>
      <c r="N39" s="18">
        <f t="shared" si="2"/>
        <v>8.7347710404705126E-2</v>
      </c>
      <c r="O39" s="15">
        <f t="shared" si="3"/>
        <v>1403</v>
      </c>
      <c r="P39" s="15">
        <f t="shared" si="4"/>
        <v>3532</v>
      </c>
    </row>
    <row r="40" spans="1:16" x14ac:dyDescent="0.25">
      <c r="A40" s="81">
        <v>2006</v>
      </c>
      <c r="B40" s="21">
        <f>IF($B$2="Trawl",Indices!B10,Indices!C10)</f>
        <v>155964</v>
      </c>
      <c r="C40" s="22">
        <f t="shared" si="0"/>
        <v>1.2407439817982211</v>
      </c>
      <c r="D40" s="21">
        <f>IF($C$2="Trawl",Indices!B10,Indices!C10)</f>
        <v>9802</v>
      </c>
      <c r="E40" s="22">
        <f t="shared" si="5"/>
        <v>1.3726368855902535</v>
      </c>
      <c r="F40" s="65"/>
      <c r="G40" s="82">
        <f t="shared" si="1"/>
        <v>3532</v>
      </c>
      <c r="H40" s="84">
        <f t="shared" si="8"/>
        <v>0.10302366178075061</v>
      </c>
      <c r="I40" s="82">
        <f t="shared" si="6"/>
        <v>3532</v>
      </c>
      <c r="J40" s="84">
        <f t="shared" si="7"/>
        <v>0.10302366178075061</v>
      </c>
      <c r="K40" s="85">
        <f t="shared" si="9"/>
        <v>0.10302366178075061</v>
      </c>
      <c r="L40" s="2"/>
      <c r="N40" s="18">
        <f t="shared" si="2"/>
        <v>0.12263688559025354</v>
      </c>
      <c r="O40" s="15">
        <f t="shared" si="3"/>
        <v>1403</v>
      </c>
      <c r="P40" s="15">
        <f t="shared" si="4"/>
        <v>3532</v>
      </c>
    </row>
    <row r="41" spans="1:16" x14ac:dyDescent="0.25">
      <c r="A41" s="81">
        <v>2007</v>
      </c>
      <c r="B41" s="21">
        <f>IF($B$2="Trawl",Indices!B11,Indices!C11)</f>
        <v>143903</v>
      </c>
      <c r="C41" s="22">
        <f t="shared" si="0"/>
        <v>1.1447948322222399</v>
      </c>
      <c r="D41" s="21">
        <f>IF($C$2="Trawl",Indices!B11,Indices!C11)</f>
        <v>9673</v>
      </c>
      <c r="E41" s="22">
        <f t="shared" si="5"/>
        <v>1.35457218876908</v>
      </c>
      <c r="F41" s="65"/>
      <c r="G41" s="82">
        <f t="shared" si="1"/>
        <v>3504.4744938806525</v>
      </c>
      <c r="H41" s="84">
        <f t="shared" si="8"/>
        <v>-7.7931784029862637E-3</v>
      </c>
      <c r="I41" s="82">
        <f t="shared" si="6"/>
        <v>3504.4744938806525</v>
      </c>
      <c r="J41" s="84">
        <f t="shared" si="7"/>
        <v>-7.7931784029862637E-3</v>
      </c>
      <c r="K41" s="85">
        <f t="shared" si="9"/>
        <v>-7.7931784029862637E-3</v>
      </c>
      <c r="L41" s="2"/>
      <c r="N41" s="18">
        <f t="shared" si="2"/>
        <v>0.10457218876908003</v>
      </c>
      <c r="O41" s="15">
        <f t="shared" si="3"/>
        <v>1403</v>
      </c>
      <c r="P41" s="15">
        <f t="shared" si="4"/>
        <v>3532</v>
      </c>
    </row>
    <row r="42" spans="1:16" x14ac:dyDescent="0.25">
      <c r="A42" s="81">
        <v>2008</v>
      </c>
      <c r="B42" s="21">
        <f>IF($B$2="Trawl",Indices!B12,Indices!C12)</f>
        <v>140247</v>
      </c>
      <c r="C42" s="22">
        <f t="shared" si="0"/>
        <v>1.1157101716758684</v>
      </c>
      <c r="D42" s="21">
        <f>IF($C$2="Trawl",Indices!B12,Indices!C12)</f>
        <v>10264</v>
      </c>
      <c r="E42" s="22">
        <f t="shared" si="5"/>
        <v>1.4373337067637586</v>
      </c>
      <c r="F42" s="65"/>
      <c r="G42" s="82">
        <f t="shared" si="1"/>
        <v>3532</v>
      </c>
      <c r="H42" s="84">
        <f t="shared" si="8"/>
        <v>7.8543890581629916E-3</v>
      </c>
      <c r="I42" s="82">
        <f t="shared" si="6"/>
        <v>3532</v>
      </c>
      <c r="J42" s="84">
        <f t="shared" si="7"/>
        <v>7.8543890581629916E-3</v>
      </c>
      <c r="K42" s="85">
        <f t="shared" si="9"/>
        <v>7.8543890581629916E-3</v>
      </c>
      <c r="L42" s="2"/>
      <c r="N42" s="18">
        <f t="shared" si="2"/>
        <v>0.1873337067637586</v>
      </c>
      <c r="O42" s="15">
        <f t="shared" si="3"/>
        <v>1403</v>
      </c>
      <c r="P42" s="15">
        <f t="shared" si="4"/>
        <v>3532</v>
      </c>
    </row>
    <row r="43" spans="1:16" x14ac:dyDescent="0.25">
      <c r="A43" s="81">
        <v>2009</v>
      </c>
      <c r="B43" s="21">
        <f>IF($B$2="Trawl",Indices!B13,Indices!C13)</f>
        <v>168102</v>
      </c>
      <c r="C43" s="22">
        <f t="shared" si="0"/>
        <v>1.3373056912380072</v>
      </c>
      <c r="D43" s="21">
        <f>IF($C$2="Trawl",Indices!B13,Indices!C13)</f>
        <v>9834</v>
      </c>
      <c r="E43" s="22">
        <f t="shared" si="5"/>
        <v>1.3771180506931802</v>
      </c>
      <c r="F43" s="65"/>
      <c r="G43" s="82">
        <f t="shared" si="1"/>
        <v>3532</v>
      </c>
      <c r="H43" s="84">
        <f t="shared" si="8"/>
        <v>0</v>
      </c>
      <c r="I43" s="82">
        <f t="shared" si="6"/>
        <v>3532</v>
      </c>
      <c r="J43" s="84">
        <f t="shared" si="7"/>
        <v>0</v>
      </c>
      <c r="K43" s="85">
        <f t="shared" si="9"/>
        <v>0</v>
      </c>
      <c r="L43" s="2"/>
      <c r="N43" s="18">
        <f t="shared" si="2"/>
        <v>0.12711805069318016</v>
      </c>
      <c r="O43" s="15">
        <f t="shared" si="3"/>
        <v>1403</v>
      </c>
      <c r="P43" s="15">
        <f t="shared" si="4"/>
        <v>3532</v>
      </c>
    </row>
    <row r="44" spans="1:16" x14ac:dyDescent="0.25">
      <c r="A44" s="81">
        <v>2010</v>
      </c>
      <c r="B44" s="21">
        <f>IF($B$2="Trawl",Indices!B14,Indices!C14)</f>
        <v>195535</v>
      </c>
      <c r="C44" s="22">
        <f t="shared" si="0"/>
        <v>1.5555440645335794</v>
      </c>
      <c r="D44" s="21">
        <f>IF($C$2="Trawl",Indices!B14,Indices!C14)</f>
        <v>9146</v>
      </c>
      <c r="E44" s="22">
        <f t="shared" si="5"/>
        <v>1.2807730009802549</v>
      </c>
      <c r="F44" s="65"/>
      <c r="G44" s="82">
        <f t="shared" si="1"/>
        <v>3532</v>
      </c>
      <c r="H44" s="84">
        <f t="shared" si="8"/>
        <v>0</v>
      </c>
      <c r="I44" s="82">
        <f t="shared" si="6"/>
        <v>3532</v>
      </c>
      <c r="J44" s="84">
        <f t="shared" si="7"/>
        <v>0</v>
      </c>
      <c r="K44" s="85">
        <f t="shared" si="9"/>
        <v>0</v>
      </c>
      <c r="L44" s="2"/>
      <c r="N44" s="18">
        <f t="shared" si="2"/>
        <v>3.0773000980254928E-2</v>
      </c>
      <c r="O44" s="15">
        <f t="shared" si="3"/>
        <v>1403</v>
      </c>
      <c r="P44" s="15">
        <f t="shared" si="4"/>
        <v>3532</v>
      </c>
    </row>
    <row r="45" spans="1:16" x14ac:dyDescent="0.25">
      <c r="A45" s="81">
        <v>2011</v>
      </c>
      <c r="B45" s="21">
        <f>IF($B$2="Trawl",Indices!B15,Indices!C15)</f>
        <v>186666</v>
      </c>
      <c r="C45" s="22">
        <f t="shared" si="0"/>
        <v>1.4849883056753275</v>
      </c>
      <c r="D45" s="21">
        <f>IF($C$2="Trawl",Indices!B15,Indices!C15)</f>
        <v>8669</v>
      </c>
      <c r="E45" s="22">
        <f t="shared" si="5"/>
        <v>1.2139756336647529</v>
      </c>
      <c r="F45" s="65"/>
      <c r="G45" s="82">
        <f t="shared" si="1"/>
        <v>3532</v>
      </c>
      <c r="H45" s="84">
        <f t="shared" si="8"/>
        <v>0</v>
      </c>
      <c r="I45" s="82">
        <f t="shared" si="6"/>
        <v>3532</v>
      </c>
      <c r="J45" s="84">
        <f t="shared" si="7"/>
        <v>0</v>
      </c>
      <c r="K45" s="85">
        <f t="shared" si="9"/>
        <v>0</v>
      </c>
      <c r="L45" s="2"/>
      <c r="N45" s="18">
        <f t="shared" si="2"/>
        <v>0</v>
      </c>
      <c r="O45" s="15">
        <f t="shared" si="3"/>
        <v>1403</v>
      </c>
      <c r="P45" s="15">
        <f t="shared" si="4"/>
        <v>3532</v>
      </c>
    </row>
    <row r="46" spans="1:16" x14ac:dyDescent="0.25">
      <c r="A46" s="81">
        <v>2012</v>
      </c>
      <c r="B46" s="21">
        <f>IF($B$2="Trawl",Indices!B16,Indices!C16)</f>
        <v>189000</v>
      </c>
      <c r="C46" s="22">
        <f t="shared" si="0"/>
        <v>1.5035560293392309</v>
      </c>
      <c r="D46" s="21">
        <f>IF($C$2="Trawl",Indices!B16,Indices!C16)</f>
        <v>8403</v>
      </c>
      <c r="E46" s="22">
        <f t="shared" si="5"/>
        <v>1.1767259487466741</v>
      </c>
      <c r="F46" s="65"/>
      <c r="G46" s="82">
        <f t="shared" si="1"/>
        <v>3532</v>
      </c>
      <c r="H46" s="84">
        <f t="shared" si="8"/>
        <v>0</v>
      </c>
      <c r="I46" s="82">
        <f t="shared" si="6"/>
        <v>3532</v>
      </c>
      <c r="J46" s="84">
        <f t="shared" si="7"/>
        <v>0</v>
      </c>
      <c r="K46" s="85">
        <f t="shared" si="9"/>
        <v>0</v>
      </c>
      <c r="L46" s="2"/>
      <c r="N46" s="18">
        <f t="shared" si="2"/>
        <v>0</v>
      </c>
      <c r="O46" s="15">
        <f t="shared" si="3"/>
        <v>1403</v>
      </c>
      <c r="P46" s="15">
        <f t="shared" si="4"/>
        <v>3532</v>
      </c>
    </row>
    <row r="47" spans="1:16" x14ac:dyDescent="0.25">
      <c r="A47" s="81">
        <v>2013</v>
      </c>
      <c r="B47" s="21">
        <f>IF($B$2="Trawl",Indices!B17,Indices!C17)</f>
        <v>183989</v>
      </c>
      <c r="C47" s="22">
        <f t="shared" si="0"/>
        <v>1.4636919062544749</v>
      </c>
      <c r="D47" s="21">
        <f>IF($C$2="Trawl",Indices!B17,Indices!C17)</f>
        <v>7989</v>
      </c>
      <c r="E47" s="22">
        <f t="shared" si="5"/>
        <v>1.1187508752275592</v>
      </c>
      <c r="F47" s="65"/>
      <c r="G47" s="82">
        <f t="shared" si="1"/>
        <v>3532</v>
      </c>
      <c r="H47" s="84">
        <f t="shared" si="8"/>
        <v>0</v>
      </c>
      <c r="I47" s="82">
        <f t="shared" si="6"/>
        <v>3532</v>
      </c>
      <c r="J47" s="84">
        <f t="shared" si="7"/>
        <v>0</v>
      </c>
      <c r="K47" s="85">
        <f t="shared" si="9"/>
        <v>0</v>
      </c>
      <c r="L47" s="2"/>
      <c r="N47" s="18">
        <f t="shared" si="2"/>
        <v>0</v>
      </c>
      <c r="O47" s="15">
        <f t="shared" si="3"/>
        <v>1403</v>
      </c>
      <c r="P47" s="15">
        <f t="shared" si="4"/>
        <v>3532</v>
      </c>
    </row>
    <row r="48" spans="1:16" x14ac:dyDescent="0.25">
      <c r="A48" s="81">
        <v>2014</v>
      </c>
      <c r="B48" s="21">
        <f>IF($B$2="Trawl",Indices!B18,Indices!C18)</f>
        <v>171427</v>
      </c>
      <c r="C48" s="22">
        <f t="shared" si="0"/>
        <v>1.3637571399023087</v>
      </c>
      <c r="D48" s="21">
        <f>IF($C$2="Trawl",Indices!B18,Indices!C18)</f>
        <v>7995</v>
      </c>
      <c r="E48" s="22">
        <f t="shared" si="5"/>
        <v>1.1195910936843578</v>
      </c>
      <c r="F48" s="65"/>
      <c r="G48" s="82">
        <f t="shared" si="1"/>
        <v>3532</v>
      </c>
      <c r="H48" s="84">
        <f t="shared" si="8"/>
        <v>0</v>
      </c>
      <c r="I48" s="82">
        <f t="shared" si="6"/>
        <v>3532</v>
      </c>
      <c r="J48" s="84">
        <f t="shared" si="7"/>
        <v>0</v>
      </c>
      <c r="K48" s="85">
        <f t="shared" si="9"/>
        <v>0</v>
      </c>
      <c r="L48" s="2"/>
      <c r="N48" s="18">
        <f t="shared" si="2"/>
        <v>0</v>
      </c>
      <c r="O48" s="15">
        <f t="shared" si="3"/>
        <v>1403</v>
      </c>
      <c r="P48" s="15">
        <f t="shared" si="4"/>
        <v>3532</v>
      </c>
    </row>
    <row r="49" spans="1:16" x14ac:dyDescent="0.25">
      <c r="A49" s="81">
        <v>2015</v>
      </c>
      <c r="B49" s="21">
        <f>IF($B$2="Trawl",Indices!B19,Indices!C19)</f>
        <v>172237</v>
      </c>
      <c r="C49" s="22">
        <f t="shared" si="0"/>
        <v>1.3702009514566196</v>
      </c>
      <c r="D49" s="21">
        <f>IF($C$2="Trawl",Indices!B19,Indices!C19)</f>
        <v>8130</v>
      </c>
      <c r="E49" s="22">
        <f t="shared" si="5"/>
        <v>1.1384960089623302</v>
      </c>
      <c r="F49" s="65"/>
      <c r="G49" s="82">
        <f t="shared" si="1"/>
        <v>3532</v>
      </c>
      <c r="H49" s="84">
        <f t="shared" si="8"/>
        <v>0</v>
      </c>
      <c r="I49" s="82">
        <f t="shared" si="6"/>
        <v>3532</v>
      </c>
      <c r="J49" s="84">
        <f t="shared" si="7"/>
        <v>0</v>
      </c>
      <c r="K49" s="85">
        <f t="shared" si="9"/>
        <v>0</v>
      </c>
      <c r="L49" s="2"/>
      <c r="N49" s="18">
        <f t="shared" si="2"/>
        <v>0</v>
      </c>
      <c r="O49" s="15">
        <f t="shared" si="3"/>
        <v>1403</v>
      </c>
      <c r="P49" s="15">
        <f t="shared" si="4"/>
        <v>3532</v>
      </c>
    </row>
    <row r="50" spans="1:16" x14ac:dyDescent="0.25">
      <c r="A50" s="81">
        <v>2016</v>
      </c>
      <c r="B50" s="21">
        <f>IF($B$2="Trawl",Indices!B20,Indices!C20)</f>
        <v>153704</v>
      </c>
      <c r="C50" s="22">
        <f t="shared" si="0"/>
        <v>1.2227649520294028</v>
      </c>
      <c r="D50" s="21">
        <f>IF($C$2="Trawl",Indices!B20,Indices!C20)</f>
        <v>7826</v>
      </c>
      <c r="E50" s="22">
        <f t="shared" si="5"/>
        <v>1.0959249404845259</v>
      </c>
      <c r="F50" s="65"/>
      <c r="G50" s="82">
        <f t="shared" si="1"/>
        <v>3429.855690442475</v>
      </c>
      <c r="H50" s="84">
        <f t="shared" si="8"/>
        <v>-2.8919679942674137E-2</v>
      </c>
      <c r="I50" s="82">
        <f t="shared" si="6"/>
        <v>3429.855690442475</v>
      </c>
      <c r="J50" s="84">
        <f t="shared" si="7"/>
        <v>-2.8919679942674137E-2</v>
      </c>
      <c r="K50" s="85">
        <f t="shared" si="9"/>
        <v>-2.8919679942674137E-2</v>
      </c>
      <c r="L50" s="2"/>
      <c r="N50" s="18">
        <f t="shared" si="2"/>
        <v>0</v>
      </c>
      <c r="O50" s="15">
        <f t="shared" si="3"/>
        <v>1403</v>
      </c>
      <c r="P50" s="15">
        <f t="shared" si="4"/>
        <v>3532</v>
      </c>
    </row>
    <row r="51" spans="1:16" x14ac:dyDescent="0.25">
      <c r="A51" s="81">
        <v>2017</v>
      </c>
      <c r="B51" s="21">
        <f>IF($B$2="Trawl",Indices!B21,Indices!C21)</f>
        <v>126684</v>
      </c>
      <c r="C51" s="22">
        <f t="shared" si="0"/>
        <v>1.0078121270942388</v>
      </c>
      <c r="D51" s="21">
        <f>IF($C$2="Trawl",Indices!B21,Indices!C21)</f>
        <v>7250</v>
      </c>
      <c r="E51" s="22">
        <f t="shared" si="5"/>
        <v>1.0152639686318443</v>
      </c>
      <c r="F51" s="65"/>
      <c r="G51" s="82">
        <f t="shared" si="1"/>
        <v>2826.9130164993398</v>
      </c>
      <c r="H51" s="84">
        <f t="shared" si="8"/>
        <v>-0.17579243220735954</v>
      </c>
      <c r="I51" s="82">
        <f t="shared" si="6"/>
        <v>2915.3773368761035</v>
      </c>
      <c r="J51" s="84">
        <f t="shared" si="7"/>
        <v>-0.17579243220735954</v>
      </c>
      <c r="K51" s="85">
        <f t="shared" si="9"/>
        <v>-0.15000000000000005</v>
      </c>
      <c r="L51" s="2"/>
      <c r="N51" s="18">
        <f t="shared" si="2"/>
        <v>0</v>
      </c>
      <c r="O51" s="15">
        <f t="shared" si="3"/>
        <v>1403</v>
      </c>
      <c r="P51" s="15">
        <f t="shared" si="4"/>
        <v>3532</v>
      </c>
    </row>
    <row r="52" spans="1:16" x14ac:dyDescent="0.25">
      <c r="A52" s="81">
        <v>2018</v>
      </c>
      <c r="B52" s="21">
        <f>IF($B$2="Trawl",Indices!B22,Indices!C22)</f>
        <v>125702</v>
      </c>
      <c r="C52" s="22">
        <f t="shared" si="0"/>
        <v>1</v>
      </c>
      <c r="D52" s="21">
        <f>IF($C$2="Trawl",Indices!B22,Indices!C22)</f>
        <v>7141</v>
      </c>
      <c r="E52" s="22">
        <f t="shared" si="5"/>
        <v>1</v>
      </c>
      <c r="F52" s="65"/>
      <c r="G52" s="82">
        <f t="shared" si="1"/>
        <v>2805</v>
      </c>
      <c r="H52" s="84">
        <f t="shared" ref="H52" si="10">(G52-G51)/G51</f>
        <v>-7.7515708376748932E-3</v>
      </c>
      <c r="I52" s="82">
        <f t="shared" si="6"/>
        <v>2805</v>
      </c>
      <c r="J52" s="84">
        <f t="shared" si="7"/>
        <v>-3.7860394769472783E-2</v>
      </c>
      <c r="K52" s="85">
        <f t="shared" ref="K52" si="11">(I52-I51)/I51</f>
        <v>-3.7860394769472783E-2</v>
      </c>
    </row>
    <row r="53" spans="1:16" x14ac:dyDescent="0.25">
      <c r="A53" s="81"/>
      <c r="B53" s="21"/>
      <c r="C53" s="21"/>
      <c r="D53" s="21"/>
      <c r="E53" s="21"/>
      <c r="F53" s="65"/>
      <c r="G53" s="21"/>
      <c r="H53" s="21"/>
      <c r="I53" s="21"/>
      <c r="J53" s="65"/>
      <c r="K53" s="83"/>
      <c r="L53" s="2"/>
      <c r="N53" s="18"/>
    </row>
    <row r="54" spans="1:16" ht="15.75" thickBot="1" x14ac:dyDescent="0.3">
      <c r="A54" s="86" t="s">
        <v>13</v>
      </c>
      <c r="B54" s="87">
        <v>100000</v>
      </c>
      <c r="C54" s="87">
        <f>B54/$D$12</f>
        <v>0.79553229065567777</v>
      </c>
      <c r="D54" s="87">
        <v>9000</v>
      </c>
      <c r="E54" s="87">
        <f>D54/$E$12</f>
        <v>1.2603276851981515</v>
      </c>
      <c r="F54" s="87"/>
      <c r="G54" s="88">
        <f>MIN($G$3,MAX($H$3,$F$3*(1-1*(1-(C54+N54)))))</f>
        <v>2260.437232269991</v>
      </c>
      <c r="H54" s="89">
        <f>(G54-G51)/G51</f>
        <v>-0.2003867048342487</v>
      </c>
      <c r="I54" s="88">
        <f>IF(ABS(J54)&gt;$H$8,I51*(1+SIGN(J54)*$H$8),G54)</f>
        <v>2478.0707363446882</v>
      </c>
      <c r="J54" s="89">
        <f>(G54-I51)/I51</f>
        <v>-0.22465020096091454</v>
      </c>
      <c r="K54" s="90">
        <f>(I54-I51)/I51</f>
        <v>-0.14999999999999994</v>
      </c>
      <c r="L54" s="2"/>
      <c r="N54" s="18">
        <f>IF(E54&lt;$B$7,$E$8*(E54-$B$7),IF(E54&gt;$B$8,$E$9*(E54-$B$8),0))</f>
        <v>1.0327685198151526E-2</v>
      </c>
    </row>
    <row r="55" spans="1:16" ht="15.75" thickBot="1" x14ac:dyDescent="0.3">
      <c r="F55"/>
      <c r="J55" s="2"/>
      <c r="K55" s="2"/>
      <c r="L55" s="2"/>
      <c r="N55" s="18"/>
    </row>
    <row r="56" spans="1:16" x14ac:dyDescent="0.25">
      <c r="A56" s="181" t="s">
        <v>68</v>
      </c>
      <c r="B56" s="182"/>
      <c r="C56" s="182"/>
      <c r="D56" s="182"/>
      <c r="E56" s="182"/>
      <c r="F56" s="182"/>
      <c r="G56" s="182"/>
      <c r="H56" s="182"/>
      <c r="I56" s="182"/>
      <c r="J56" s="182"/>
      <c r="K56" s="183"/>
      <c r="L56" s="2"/>
    </row>
    <row r="57" spans="1:16" ht="45" x14ac:dyDescent="0.25">
      <c r="A57" s="77" t="s">
        <v>0</v>
      </c>
      <c r="B57" s="78" t="s">
        <v>38</v>
      </c>
      <c r="C57" s="78" t="s">
        <v>7</v>
      </c>
      <c r="D57" s="78" t="s">
        <v>39</v>
      </c>
      <c r="E57" s="78" t="s">
        <v>8</v>
      </c>
      <c r="F57" s="65"/>
      <c r="G57" s="78" t="s">
        <v>27</v>
      </c>
      <c r="H57" s="79" t="s">
        <v>26</v>
      </c>
      <c r="I57" s="78" t="s">
        <v>40</v>
      </c>
      <c r="J57" s="79" t="s">
        <v>28</v>
      </c>
      <c r="K57" s="80" t="s">
        <v>29</v>
      </c>
      <c r="N57" s="17" t="s">
        <v>22</v>
      </c>
    </row>
    <row r="58" spans="1:16" x14ac:dyDescent="0.25">
      <c r="A58" s="81">
        <v>1998</v>
      </c>
      <c r="B58" s="21">
        <f>IF($B$3="Trawl",Indices!B2,Indices!C2)</f>
        <v>18502</v>
      </c>
      <c r="C58" s="22">
        <f>B58/D$13</f>
        <v>2.5909536479484667</v>
      </c>
      <c r="D58" s="21">
        <f>IF($C$3="Trawl",Indices!B2,Indices!C2)</f>
        <v>161256</v>
      </c>
      <c r="E58" s="22">
        <f>D58/E$13</f>
        <v>1.2828435506197196</v>
      </c>
      <c r="F58" s="65"/>
      <c r="G58" s="82">
        <f>MIN($G$4,MAX($H$4,$F$4*(1-1*(1-(C58+N58)))))</f>
        <v>894</v>
      </c>
      <c r="H58" s="65"/>
      <c r="I58" s="82">
        <f>G58</f>
        <v>894</v>
      </c>
      <c r="J58" s="65"/>
      <c r="K58" s="83"/>
      <c r="N58" s="18">
        <f t="shared" ref="N58:N77" si="12">IF(E58&lt;$B$7,$E$8*(E58-$B$7),IF(E58&gt;$B$8,$E$9*(E58-$B$8),0))</f>
        <v>3.2843550619719553E-2</v>
      </c>
    </row>
    <row r="59" spans="1:16" x14ac:dyDescent="0.25">
      <c r="A59" s="81">
        <v>1999</v>
      </c>
      <c r="B59" s="21">
        <f>IF($B$3="Trawl",Indices!B3,Indices!C3)</f>
        <v>16201</v>
      </c>
      <c r="C59" s="22">
        <f t="shared" ref="C59:C80" si="13">B59/D$13</f>
        <v>2.2687298697661391</v>
      </c>
      <c r="D59" s="21">
        <f>IF($C$3="Trawl",Indices!B3,Indices!C3)</f>
        <v>129116</v>
      </c>
      <c r="E59" s="22">
        <f t="shared" ref="E59:E80" si="14">D59/E$13</f>
        <v>1.0271594724029849</v>
      </c>
      <c r="F59" s="65"/>
      <c r="G59" s="82">
        <f t="shared" ref="G59:G80" si="15">MIN($G$4,MAX($H$4,$F$4*(1-1*(1-(C59+N59)))))</f>
        <v>894</v>
      </c>
      <c r="H59" s="84">
        <f>(G59-G58)/G58</f>
        <v>0</v>
      </c>
      <c r="I59" s="82">
        <f t="shared" ref="I59:I78" si="16">IF(J59&gt;0,IF(ABS(J59)&gt;$H$8,I58*(1+SIGN(J59)*$H$8),G59),IF(ABS(J59)&gt;$H$9,I58*(1+SIGN(J59)*$H$9),G59))</f>
        <v>894</v>
      </c>
      <c r="J59" s="84">
        <f t="shared" ref="J59:J78" si="17">(G59-I58)/I58</f>
        <v>0</v>
      </c>
      <c r="K59" s="85">
        <f>(I59-I58)/I58</f>
        <v>0</v>
      </c>
      <c r="N59" s="18">
        <f t="shared" si="12"/>
        <v>0</v>
      </c>
    </row>
    <row r="60" spans="1:16" x14ac:dyDescent="0.25">
      <c r="A60" s="81">
        <v>2000</v>
      </c>
      <c r="B60" s="21">
        <f>IF($B$3="Trawl",Indices!B4,Indices!C4)</f>
        <v>16203</v>
      </c>
      <c r="C60" s="22">
        <f t="shared" si="13"/>
        <v>2.2690099425850723</v>
      </c>
      <c r="D60" s="21">
        <f>IF($C$3="Trawl",Indices!B4,Indices!C4)</f>
        <v>118677</v>
      </c>
      <c r="E60" s="22">
        <f t="shared" si="14"/>
        <v>0.94411385658143865</v>
      </c>
      <c r="F60" s="65"/>
      <c r="G60" s="82">
        <f t="shared" si="15"/>
        <v>894</v>
      </c>
      <c r="H60" s="84">
        <f t="shared" ref="H60:H78" si="18">(G60-G59)/G59</f>
        <v>0</v>
      </c>
      <c r="I60" s="82">
        <f t="shared" si="16"/>
        <v>894</v>
      </c>
      <c r="J60" s="84">
        <f t="shared" si="17"/>
        <v>0</v>
      </c>
      <c r="K60" s="85">
        <f>(I60-I59)/I59</f>
        <v>0</v>
      </c>
      <c r="N60" s="18">
        <f t="shared" si="12"/>
        <v>0</v>
      </c>
    </row>
    <row r="61" spans="1:16" x14ac:dyDescent="0.25">
      <c r="A61" s="81">
        <v>2001</v>
      </c>
      <c r="B61" s="21">
        <f>IF($B$3="Trawl",Indices!B5,Indices!C5)</f>
        <v>13780</v>
      </c>
      <c r="C61" s="22">
        <f t="shared" si="13"/>
        <v>1.9297017224478363</v>
      </c>
      <c r="D61" s="21">
        <f>IF($C$3="Trawl",Indices!B5,Indices!C5)</f>
        <v>141219</v>
      </c>
      <c r="E61" s="22">
        <f t="shared" si="14"/>
        <v>1.1234427455410416</v>
      </c>
      <c r="F61" s="65"/>
      <c r="G61" s="82">
        <f t="shared" si="15"/>
        <v>894</v>
      </c>
      <c r="H61" s="84">
        <f t="shared" si="18"/>
        <v>0</v>
      </c>
      <c r="I61" s="82">
        <f t="shared" si="16"/>
        <v>894</v>
      </c>
      <c r="J61" s="84">
        <f t="shared" si="17"/>
        <v>0</v>
      </c>
      <c r="K61" s="85">
        <f t="shared" ref="K61:K78" si="19">(I61-I60)/I60</f>
        <v>0</v>
      </c>
      <c r="N61" s="18">
        <f t="shared" si="12"/>
        <v>0</v>
      </c>
    </row>
    <row r="62" spans="1:16" x14ac:dyDescent="0.25">
      <c r="A62" s="81">
        <v>2002</v>
      </c>
      <c r="B62" s="21">
        <f>IF($B$3="Trawl",Indices!B6,Indices!C6)</f>
        <v>12104</v>
      </c>
      <c r="C62" s="22">
        <f t="shared" si="13"/>
        <v>1.6950007001820473</v>
      </c>
      <c r="D62" s="21">
        <f>IF($C$3="Trawl",Indices!B6,Indices!C6)</f>
        <v>101706</v>
      </c>
      <c r="E62" s="22">
        <f t="shared" si="14"/>
        <v>0.80910407153426356</v>
      </c>
      <c r="F62" s="65"/>
      <c r="G62" s="82">
        <f t="shared" si="15"/>
        <v>894</v>
      </c>
      <c r="H62" s="84">
        <f t="shared" si="18"/>
        <v>0</v>
      </c>
      <c r="I62" s="82">
        <f t="shared" si="16"/>
        <v>894</v>
      </c>
      <c r="J62" s="84">
        <f t="shared" si="17"/>
        <v>0</v>
      </c>
      <c r="K62" s="85">
        <f t="shared" si="19"/>
        <v>0</v>
      </c>
      <c r="N62" s="18">
        <f t="shared" si="12"/>
        <v>0</v>
      </c>
    </row>
    <row r="63" spans="1:16" x14ac:dyDescent="0.25">
      <c r="A63" s="81">
        <v>2003</v>
      </c>
      <c r="B63" s="21">
        <f>IF($B$3="Trawl",Indices!B7,Indices!C7)</f>
        <v>10866</v>
      </c>
      <c r="C63" s="22">
        <f t="shared" si="13"/>
        <v>1.5216356252625682</v>
      </c>
      <c r="D63" s="21">
        <f>IF($C$3="Trawl",Indices!B7,Indices!C7)</f>
        <v>132151</v>
      </c>
      <c r="E63" s="22">
        <f t="shared" si="14"/>
        <v>1.0513038774243846</v>
      </c>
      <c r="F63" s="65"/>
      <c r="G63" s="82">
        <f t="shared" si="15"/>
        <v>894</v>
      </c>
      <c r="H63" s="84">
        <f t="shared" si="18"/>
        <v>0</v>
      </c>
      <c r="I63" s="82">
        <f t="shared" si="16"/>
        <v>894</v>
      </c>
      <c r="J63" s="84">
        <f t="shared" si="17"/>
        <v>0</v>
      </c>
      <c r="K63" s="85">
        <f t="shared" si="19"/>
        <v>0</v>
      </c>
      <c r="N63" s="18">
        <f t="shared" si="12"/>
        <v>0</v>
      </c>
    </row>
    <row r="64" spans="1:16" x14ac:dyDescent="0.25">
      <c r="A64" s="81">
        <v>2004</v>
      </c>
      <c r="B64" s="21">
        <f>IF($B$3="Trawl",Indices!B8,Indices!C8)</f>
        <v>9987</v>
      </c>
      <c r="C64" s="22">
        <f t="shared" si="13"/>
        <v>1.3985436213415487</v>
      </c>
      <c r="D64" s="21">
        <f>IF($C$3="Trawl",Indices!B8,Indices!C8)</f>
        <v>130075</v>
      </c>
      <c r="E64" s="22">
        <f t="shared" si="14"/>
        <v>1.0347886270703728</v>
      </c>
      <c r="F64" s="65"/>
      <c r="G64" s="82">
        <f t="shared" si="15"/>
        <v>894</v>
      </c>
      <c r="H64" s="84">
        <f t="shared" si="18"/>
        <v>0</v>
      </c>
      <c r="I64" s="82">
        <f t="shared" si="16"/>
        <v>894</v>
      </c>
      <c r="J64" s="84">
        <f t="shared" si="17"/>
        <v>0</v>
      </c>
      <c r="K64" s="85">
        <f t="shared" si="19"/>
        <v>0</v>
      </c>
      <c r="N64" s="18">
        <f t="shared" si="12"/>
        <v>0</v>
      </c>
    </row>
    <row r="65" spans="1:14" x14ac:dyDescent="0.25">
      <c r="A65" s="81">
        <v>2005</v>
      </c>
      <c r="B65" s="21">
        <f>IF($B$3="Trawl",Indices!B9,Indices!C9)</f>
        <v>9550</v>
      </c>
      <c r="C65" s="22">
        <f t="shared" si="13"/>
        <v>1.3373477104047051</v>
      </c>
      <c r="D65" s="21">
        <f>IF($C$3="Trawl",Indices!B9,Indices!C9)</f>
        <v>132518</v>
      </c>
      <c r="E65" s="22">
        <f t="shared" si="14"/>
        <v>1.0542234809310911</v>
      </c>
      <c r="F65" s="65"/>
      <c r="G65" s="82">
        <f t="shared" si="15"/>
        <v>894</v>
      </c>
      <c r="H65" s="84">
        <f t="shared" si="18"/>
        <v>0</v>
      </c>
      <c r="I65" s="82">
        <f t="shared" si="16"/>
        <v>894</v>
      </c>
      <c r="J65" s="84">
        <f t="shared" si="17"/>
        <v>0</v>
      </c>
      <c r="K65" s="85">
        <f t="shared" si="19"/>
        <v>0</v>
      </c>
      <c r="N65" s="18">
        <f t="shared" si="12"/>
        <v>0</v>
      </c>
    </row>
    <row r="66" spans="1:14" x14ac:dyDescent="0.25">
      <c r="A66" s="81">
        <v>2006</v>
      </c>
      <c r="B66" s="21">
        <f>IF($B$3="Trawl",Indices!B10,Indices!C10)</f>
        <v>9802</v>
      </c>
      <c r="C66" s="22">
        <f t="shared" si="13"/>
        <v>1.3726368855902535</v>
      </c>
      <c r="D66" s="21">
        <f>IF($C$3="Trawl",Indices!B10,Indices!C10)</f>
        <v>155964</v>
      </c>
      <c r="E66" s="22">
        <f t="shared" si="14"/>
        <v>1.2407439817982211</v>
      </c>
      <c r="F66" s="65"/>
      <c r="G66" s="82">
        <f t="shared" si="15"/>
        <v>894</v>
      </c>
      <c r="H66" s="84">
        <f t="shared" si="18"/>
        <v>0</v>
      </c>
      <c r="I66" s="82">
        <f t="shared" si="16"/>
        <v>894</v>
      </c>
      <c r="J66" s="84">
        <f t="shared" si="17"/>
        <v>0</v>
      </c>
      <c r="K66" s="85">
        <f t="shared" si="19"/>
        <v>0</v>
      </c>
      <c r="N66" s="18">
        <f t="shared" si="12"/>
        <v>0</v>
      </c>
    </row>
    <row r="67" spans="1:14" x14ac:dyDescent="0.25">
      <c r="A67" s="81">
        <v>2007</v>
      </c>
      <c r="B67" s="21">
        <f>IF($B$3="Trawl",Indices!B11,Indices!C11)</f>
        <v>9673</v>
      </c>
      <c r="C67" s="22">
        <f t="shared" si="13"/>
        <v>1.35457218876908</v>
      </c>
      <c r="D67" s="21">
        <f>IF($C$3="Trawl",Indices!B11,Indices!C11)</f>
        <v>143903</v>
      </c>
      <c r="E67" s="22">
        <f t="shared" si="14"/>
        <v>1.1447948322222399</v>
      </c>
      <c r="F67" s="65"/>
      <c r="G67" s="82">
        <f t="shared" si="15"/>
        <v>894</v>
      </c>
      <c r="H67" s="84">
        <f t="shared" si="18"/>
        <v>0</v>
      </c>
      <c r="I67" s="82">
        <f t="shared" si="16"/>
        <v>894</v>
      </c>
      <c r="J67" s="84">
        <f t="shared" si="17"/>
        <v>0</v>
      </c>
      <c r="K67" s="85">
        <f t="shared" si="19"/>
        <v>0</v>
      </c>
      <c r="N67" s="18">
        <f t="shared" si="12"/>
        <v>0</v>
      </c>
    </row>
    <row r="68" spans="1:14" x14ac:dyDescent="0.25">
      <c r="A68" s="81">
        <v>2008</v>
      </c>
      <c r="B68" s="21">
        <f>IF($B$3="Trawl",Indices!B12,Indices!C12)</f>
        <v>10264</v>
      </c>
      <c r="C68" s="22">
        <f t="shared" si="13"/>
        <v>1.4373337067637586</v>
      </c>
      <c r="D68" s="21">
        <f>IF($C$3="Trawl",Indices!B12,Indices!C12)</f>
        <v>140247</v>
      </c>
      <c r="E68" s="22">
        <f t="shared" si="14"/>
        <v>1.1157101716758684</v>
      </c>
      <c r="F68" s="65"/>
      <c r="G68" s="82">
        <f t="shared" si="15"/>
        <v>894</v>
      </c>
      <c r="H68" s="84">
        <f t="shared" si="18"/>
        <v>0</v>
      </c>
      <c r="I68" s="82">
        <f t="shared" si="16"/>
        <v>894</v>
      </c>
      <c r="J68" s="84">
        <f t="shared" si="17"/>
        <v>0</v>
      </c>
      <c r="K68" s="85">
        <f t="shared" si="19"/>
        <v>0</v>
      </c>
      <c r="N68" s="18">
        <f t="shared" si="12"/>
        <v>0</v>
      </c>
    </row>
    <row r="69" spans="1:14" x14ac:dyDescent="0.25">
      <c r="A69" s="81">
        <v>2009</v>
      </c>
      <c r="B69" s="21">
        <f>IF($B$3="Trawl",Indices!B13,Indices!C13)</f>
        <v>9834</v>
      </c>
      <c r="C69" s="22">
        <f t="shared" si="13"/>
        <v>1.3771180506931802</v>
      </c>
      <c r="D69" s="21">
        <f>IF($C$3="Trawl",Indices!B13,Indices!C13)</f>
        <v>168102</v>
      </c>
      <c r="E69" s="22">
        <f t="shared" si="14"/>
        <v>1.3373056912380072</v>
      </c>
      <c r="F69" s="65"/>
      <c r="G69" s="82">
        <f t="shared" si="15"/>
        <v>894</v>
      </c>
      <c r="H69" s="84">
        <f t="shared" si="18"/>
        <v>0</v>
      </c>
      <c r="I69" s="82">
        <f t="shared" si="16"/>
        <v>894</v>
      </c>
      <c r="J69" s="84">
        <f t="shared" si="17"/>
        <v>0</v>
      </c>
      <c r="K69" s="85">
        <f t="shared" si="19"/>
        <v>0</v>
      </c>
      <c r="N69" s="18">
        <f t="shared" si="12"/>
        <v>8.7305691238007244E-2</v>
      </c>
    </row>
    <row r="70" spans="1:14" x14ac:dyDescent="0.25">
      <c r="A70" s="81">
        <v>2010</v>
      </c>
      <c r="B70" s="21">
        <f>IF($B$3="Trawl",Indices!B14,Indices!C14)</f>
        <v>9146</v>
      </c>
      <c r="C70" s="22">
        <f t="shared" si="13"/>
        <v>1.2807730009802549</v>
      </c>
      <c r="D70" s="21">
        <f>IF($C$3="Trawl",Indices!B14,Indices!C14)</f>
        <v>195535</v>
      </c>
      <c r="E70" s="22">
        <f t="shared" si="14"/>
        <v>1.5555440645335794</v>
      </c>
      <c r="F70" s="65"/>
      <c r="G70" s="82">
        <f t="shared" si="15"/>
        <v>894</v>
      </c>
      <c r="H70" s="84">
        <f t="shared" si="18"/>
        <v>0</v>
      </c>
      <c r="I70" s="82">
        <f t="shared" si="16"/>
        <v>894</v>
      </c>
      <c r="J70" s="84">
        <f t="shared" si="17"/>
        <v>0</v>
      </c>
      <c r="K70" s="85">
        <f t="shared" si="19"/>
        <v>0</v>
      </c>
      <c r="N70" s="18">
        <f t="shared" si="12"/>
        <v>0.30554406453357941</v>
      </c>
    </row>
    <row r="71" spans="1:14" x14ac:dyDescent="0.25">
      <c r="A71" s="81">
        <v>2011</v>
      </c>
      <c r="B71" s="21">
        <f>IF($B$3="Trawl",Indices!B15,Indices!C15)</f>
        <v>8669</v>
      </c>
      <c r="C71" s="22">
        <f t="shared" si="13"/>
        <v>1.2139756336647529</v>
      </c>
      <c r="D71" s="21">
        <f>IF($C$3="Trawl",Indices!B15,Indices!C15)</f>
        <v>186666</v>
      </c>
      <c r="E71" s="22">
        <f t="shared" si="14"/>
        <v>1.4849883056753275</v>
      </c>
      <c r="F71" s="65"/>
      <c r="G71" s="82">
        <f t="shared" si="15"/>
        <v>894</v>
      </c>
      <c r="H71" s="84">
        <f t="shared" si="18"/>
        <v>0</v>
      </c>
      <c r="I71" s="82">
        <f t="shared" si="16"/>
        <v>894</v>
      </c>
      <c r="J71" s="84">
        <f t="shared" si="17"/>
        <v>0</v>
      </c>
      <c r="K71" s="85">
        <f t="shared" si="19"/>
        <v>0</v>
      </c>
      <c r="N71" s="18">
        <f t="shared" si="12"/>
        <v>0.23498830567532747</v>
      </c>
    </row>
    <row r="72" spans="1:14" x14ac:dyDescent="0.25">
      <c r="A72" s="81">
        <v>2012</v>
      </c>
      <c r="B72" s="21">
        <f>IF($B$3="Trawl",Indices!B16,Indices!C16)</f>
        <v>8403</v>
      </c>
      <c r="C72" s="22">
        <f t="shared" si="13"/>
        <v>1.1767259487466741</v>
      </c>
      <c r="D72" s="21">
        <f>IF($C$3="Trawl",Indices!B16,Indices!C16)</f>
        <v>189000</v>
      </c>
      <c r="E72" s="22">
        <f t="shared" si="14"/>
        <v>1.5035560293392309</v>
      </c>
      <c r="F72" s="65"/>
      <c r="G72" s="82">
        <f t="shared" si="15"/>
        <v>894</v>
      </c>
      <c r="H72" s="84">
        <f t="shared" si="18"/>
        <v>0</v>
      </c>
      <c r="I72" s="82">
        <f t="shared" si="16"/>
        <v>894</v>
      </c>
      <c r="J72" s="84">
        <f t="shared" si="17"/>
        <v>0</v>
      </c>
      <c r="K72" s="85">
        <f t="shared" si="19"/>
        <v>0</v>
      </c>
      <c r="N72" s="18">
        <f t="shared" si="12"/>
        <v>0.25355602933923094</v>
      </c>
    </row>
    <row r="73" spans="1:14" x14ac:dyDescent="0.25">
      <c r="A73" s="81">
        <v>2013</v>
      </c>
      <c r="B73" s="21">
        <f>IF($B$3="Trawl",Indices!B17,Indices!C17)</f>
        <v>7989</v>
      </c>
      <c r="C73" s="22">
        <f t="shared" si="13"/>
        <v>1.1187508752275592</v>
      </c>
      <c r="D73" s="21">
        <f>IF($C$3="Trawl",Indices!B17,Indices!C17)</f>
        <v>183989</v>
      </c>
      <c r="E73" s="22">
        <f t="shared" si="14"/>
        <v>1.4636919062544749</v>
      </c>
      <c r="F73" s="65"/>
      <c r="G73" s="82">
        <f t="shared" si="15"/>
        <v>894</v>
      </c>
      <c r="H73" s="84">
        <f t="shared" si="18"/>
        <v>0</v>
      </c>
      <c r="I73" s="82">
        <f t="shared" si="16"/>
        <v>894</v>
      </c>
      <c r="J73" s="84">
        <f t="shared" si="17"/>
        <v>0</v>
      </c>
      <c r="K73" s="85">
        <f t="shared" si="19"/>
        <v>0</v>
      </c>
      <c r="N73" s="18">
        <f t="shared" si="12"/>
        <v>0.21369190625447487</v>
      </c>
    </row>
    <row r="74" spans="1:14" x14ac:dyDescent="0.25">
      <c r="A74" s="81">
        <v>2014</v>
      </c>
      <c r="B74" s="21">
        <f>IF($B$3="Trawl",Indices!B18,Indices!C18)</f>
        <v>7995</v>
      </c>
      <c r="C74" s="22">
        <f t="shared" si="13"/>
        <v>1.1195910936843578</v>
      </c>
      <c r="D74" s="21">
        <f>IF($C$3="Trawl",Indices!B18,Indices!C18)</f>
        <v>171427</v>
      </c>
      <c r="E74" s="22">
        <f t="shared" si="14"/>
        <v>1.3637571399023087</v>
      </c>
      <c r="F74" s="65"/>
      <c r="G74" s="82">
        <f t="shared" si="15"/>
        <v>875.67724584653331</v>
      </c>
      <c r="H74" s="84">
        <f t="shared" si="18"/>
        <v>-2.049525073094708E-2</v>
      </c>
      <c r="I74" s="82">
        <f t="shared" si="16"/>
        <v>875.67724584653331</v>
      </c>
      <c r="J74" s="84">
        <f t="shared" si="17"/>
        <v>-2.049525073094708E-2</v>
      </c>
      <c r="K74" s="85">
        <f t="shared" si="19"/>
        <v>-2.049525073094708E-2</v>
      </c>
      <c r="N74" s="18">
        <f t="shared" si="12"/>
        <v>0.11375713990230873</v>
      </c>
    </row>
    <row r="75" spans="1:14" x14ac:dyDescent="0.25">
      <c r="A75" s="81">
        <v>2015</v>
      </c>
      <c r="B75" s="21">
        <f>IF($B$3="Trawl",Indices!B19,Indices!C19)</f>
        <v>8130</v>
      </c>
      <c r="C75" s="22">
        <f t="shared" si="13"/>
        <v>1.1384960089623302</v>
      </c>
      <c r="D75" s="21">
        <f>IF($C$3="Trawl",Indices!B19,Indices!C19)</f>
        <v>172237</v>
      </c>
      <c r="E75" s="22">
        <f t="shared" si="14"/>
        <v>1.3702009514566196</v>
      </c>
      <c r="F75" s="65"/>
      <c r="G75" s="82">
        <f t="shared" si="15"/>
        <v>893.67484189745437</v>
      </c>
      <c r="H75" s="84">
        <f t="shared" si="18"/>
        <v>2.0552773451961121E-2</v>
      </c>
      <c r="I75" s="82">
        <f t="shared" si="16"/>
        <v>893.67484189745437</v>
      </c>
      <c r="J75" s="84">
        <f t="shared" si="17"/>
        <v>2.0552773451961121E-2</v>
      </c>
      <c r="K75" s="85">
        <f t="shared" si="19"/>
        <v>2.0552773451961121E-2</v>
      </c>
      <c r="N75" s="18">
        <f t="shared" si="12"/>
        <v>0.12020095145661958</v>
      </c>
    </row>
    <row r="76" spans="1:14" x14ac:dyDescent="0.25">
      <c r="A76" s="81">
        <v>2016</v>
      </c>
      <c r="B76" s="21">
        <f>IF($B$3="Trawl",Indices!B20,Indices!C20)</f>
        <v>7826</v>
      </c>
      <c r="C76" s="22">
        <f t="shared" si="13"/>
        <v>1.0959249404845259</v>
      </c>
      <c r="D76" s="21">
        <f>IF($C$3="Trawl",Indices!B20,Indices!C20)</f>
        <v>153704</v>
      </c>
      <c r="E76" s="22">
        <f t="shared" si="14"/>
        <v>1.2227649520294028</v>
      </c>
      <c r="F76" s="65"/>
      <c r="G76" s="82">
        <f t="shared" si="15"/>
        <v>778.10670774401342</v>
      </c>
      <c r="H76" s="84">
        <f t="shared" si="18"/>
        <v>-0.12931787797457314</v>
      </c>
      <c r="I76" s="82">
        <f t="shared" si="16"/>
        <v>778.10670774401342</v>
      </c>
      <c r="J76" s="84">
        <f t="shared" si="17"/>
        <v>-0.12931787797457314</v>
      </c>
      <c r="K76" s="85">
        <f t="shared" si="19"/>
        <v>-0.12931787797457314</v>
      </c>
      <c r="N76" s="18">
        <f t="shared" si="12"/>
        <v>0</v>
      </c>
    </row>
    <row r="77" spans="1:14" x14ac:dyDescent="0.25">
      <c r="A77" s="81">
        <v>2017</v>
      </c>
      <c r="B77" s="21">
        <f>IF($B$3="Trawl",Indices!B21,Indices!C21)</f>
        <v>7250</v>
      </c>
      <c r="C77" s="22">
        <f t="shared" si="13"/>
        <v>1.0152639686318443</v>
      </c>
      <c r="D77" s="21">
        <f>IF($C$3="Trawl",Indices!B21,Indices!C21)</f>
        <v>126684</v>
      </c>
      <c r="E77" s="22">
        <f t="shared" si="14"/>
        <v>1.0078121270942388</v>
      </c>
      <c r="F77" s="65"/>
      <c r="G77" s="82">
        <f t="shared" si="15"/>
        <v>720.83741772860947</v>
      </c>
      <c r="H77" s="84">
        <f t="shared" si="18"/>
        <v>-7.3600817786864239E-2</v>
      </c>
      <c r="I77" s="82">
        <f t="shared" si="16"/>
        <v>720.83741772860947</v>
      </c>
      <c r="J77" s="84">
        <f t="shared" si="17"/>
        <v>-7.3600817786864239E-2</v>
      </c>
      <c r="K77" s="85">
        <f t="shared" si="19"/>
        <v>-7.3600817786864239E-2</v>
      </c>
      <c r="N77" s="18">
        <f t="shared" si="12"/>
        <v>0</v>
      </c>
    </row>
    <row r="78" spans="1:14" x14ac:dyDescent="0.25">
      <c r="A78" s="81">
        <v>2018</v>
      </c>
      <c r="B78" s="21">
        <f>IF($B$3="Trawl",Indices!B22,Indices!C22)</f>
        <v>7141</v>
      </c>
      <c r="C78" s="22">
        <f t="shared" si="13"/>
        <v>1</v>
      </c>
      <c r="D78" s="21">
        <f>IF($C$3="Trawl",Indices!B22,Indices!C22)</f>
        <v>125702</v>
      </c>
      <c r="E78" s="22">
        <f t="shared" si="14"/>
        <v>1</v>
      </c>
      <c r="F78" s="65"/>
      <c r="G78" s="82">
        <f t="shared" si="15"/>
        <v>710</v>
      </c>
      <c r="H78" s="84">
        <f t="shared" si="18"/>
        <v>-1.5034482758620727E-2</v>
      </c>
      <c r="I78" s="82">
        <f t="shared" si="16"/>
        <v>710</v>
      </c>
      <c r="J78" s="84">
        <f t="shared" si="17"/>
        <v>-1.5034482758620727E-2</v>
      </c>
      <c r="K78" s="85">
        <f t="shared" si="19"/>
        <v>-1.5034482758620727E-2</v>
      </c>
    </row>
    <row r="79" spans="1:14" x14ac:dyDescent="0.25">
      <c r="A79" s="81"/>
      <c r="B79" s="21"/>
      <c r="C79" s="21"/>
      <c r="D79" s="21"/>
      <c r="E79" s="21"/>
      <c r="F79" s="65"/>
      <c r="G79" s="21"/>
      <c r="H79" s="21"/>
      <c r="I79" s="21"/>
      <c r="J79" s="65"/>
      <c r="K79" s="83"/>
      <c r="N79" s="18"/>
    </row>
    <row r="80" spans="1:14" ht="15.75" thickBot="1" x14ac:dyDescent="0.3">
      <c r="A80" s="86" t="s">
        <v>13</v>
      </c>
      <c r="B80" s="87">
        <v>9000</v>
      </c>
      <c r="C80" s="91">
        <f t="shared" si="13"/>
        <v>1.2603276851981515</v>
      </c>
      <c r="D80" s="87">
        <v>10000</v>
      </c>
      <c r="E80" s="91">
        <f t="shared" si="14"/>
        <v>7.9553229065567777E-2</v>
      </c>
      <c r="F80" s="87"/>
      <c r="G80" s="88">
        <f t="shared" si="15"/>
        <v>418.81544912724075</v>
      </c>
      <c r="H80" s="89">
        <f>(G80-G77)/G77</f>
        <v>-0.41898764017141793</v>
      </c>
      <c r="I80" s="88">
        <f>IF(ABS(J80)&gt;$H$8,I77*(1+SIGN(J80)*$H$8),G80)</f>
        <v>612.71180506931807</v>
      </c>
      <c r="J80" s="89">
        <f>(G80-I77)/I77</f>
        <v>-0.41898764017141793</v>
      </c>
      <c r="K80" s="90">
        <f>(I80-I77)/I77</f>
        <v>-0.14999999999999997</v>
      </c>
      <c r="N80" s="18">
        <f>IF(E80&lt;$B$7,$E$8*(E80-$B$7),IF(E80&gt;$B$8,$E$9*(E80-$B$8),0))</f>
        <v>-0.67044677093443217</v>
      </c>
    </row>
  </sheetData>
  <mergeCells count="6">
    <mergeCell ref="A30:K30"/>
    <mergeCell ref="A56:K56"/>
    <mergeCell ref="A6:B6"/>
    <mergeCell ref="D7:E7"/>
    <mergeCell ref="A10:C10"/>
    <mergeCell ref="G7:H7"/>
  </mergeCells>
  <conditionalFormatting sqref="AB33:BC51 O57:AZ60 R55:BC56 AB53:BC54 O62:AZ94">
    <cfRule type="colorScale" priority="17">
      <colorScale>
        <cfvo type="min"/>
        <cfvo type="percentile" val="50"/>
        <cfvo type="max"/>
        <color rgb="FFF8696B"/>
        <color rgb="FFFFEB84"/>
        <color rgb="FF63BE7B"/>
      </colorScale>
    </cfRule>
  </conditionalFormatting>
  <conditionalFormatting sqref="E32:E52">
    <cfRule type="cellIs" dxfId="31" priority="24" operator="lessThan">
      <formula>$B$7</formula>
    </cfRule>
    <cfRule type="cellIs" dxfId="30" priority="25" operator="greaterThan">
      <formula>$B$8</formula>
    </cfRule>
  </conditionalFormatting>
  <conditionalFormatting sqref="G54 G32:G52">
    <cfRule type="expression" dxfId="29" priority="28">
      <formula>G32&lt;=$H$3</formula>
    </cfRule>
    <cfRule type="expression" dxfId="28" priority="29">
      <formula>G32&gt;=$G$3</formula>
    </cfRule>
  </conditionalFormatting>
  <conditionalFormatting sqref="E58:E78">
    <cfRule type="cellIs" dxfId="27" priority="7" operator="lessThan">
      <formula>$B$7</formula>
    </cfRule>
    <cfRule type="cellIs" dxfId="26" priority="8" operator="greaterThan">
      <formula>$B$8</formula>
    </cfRule>
  </conditionalFormatting>
  <conditionalFormatting sqref="G58:G78 G80">
    <cfRule type="expression" dxfId="25" priority="9">
      <formula>G58&lt;=$H$4</formula>
    </cfRule>
    <cfRule type="expression" dxfId="24" priority="10">
      <formula>G58&gt;=$G$4</formula>
    </cfRule>
  </conditionalFormatting>
  <conditionalFormatting sqref="E80">
    <cfRule type="cellIs" dxfId="23" priority="5" operator="lessThan">
      <formula>$B$7</formula>
    </cfRule>
    <cfRule type="cellIs" dxfId="22" priority="6" operator="greaterThan">
      <formula>$B$8</formula>
    </cfRule>
  </conditionalFormatting>
  <conditionalFormatting sqref="I54 I32:I52">
    <cfRule type="expression" dxfId="21" priority="3">
      <formula>I32&lt;=$H$3</formula>
    </cfRule>
    <cfRule type="expression" dxfId="20" priority="4">
      <formula>I32&gt;=$G$3</formula>
    </cfRule>
  </conditionalFormatting>
  <conditionalFormatting sqref="I58:I78 I80">
    <cfRule type="expression" dxfId="19" priority="1">
      <formula>I58&lt;=$H$4</formula>
    </cfRule>
    <cfRule type="expression" dxfId="18" priority="2">
      <formula>I58&gt;=$G$4</formula>
    </cfRule>
  </conditionalFormatting>
  <pageMargins left="0.7" right="0.7" top="0.75" bottom="0.75" header="0.3" footer="0.3"/>
  <pageSetup orientation="portrait" horizontalDpi="0"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Indices!$B$1:$C$1</xm:f>
          </x14:formula1>
          <xm:sqref>B2 B3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108"/>
  <sheetViews>
    <sheetView topLeftCell="A40" zoomScale="90" zoomScaleNormal="90" workbookViewId="0">
      <selection activeCell="N81" sqref="N81"/>
    </sheetView>
  </sheetViews>
  <sheetFormatPr defaultRowHeight="15" x14ac:dyDescent="0.25"/>
  <cols>
    <col min="1" max="1" width="10.140625" style="3" bestFit="1" customWidth="1"/>
    <col min="2" max="2" width="11.7109375" style="2" customWidth="1"/>
    <col min="3" max="3" width="13" style="2" customWidth="1"/>
    <col min="4" max="4" width="11.7109375" style="2" customWidth="1"/>
    <col min="5" max="5" width="14.42578125" style="2" bestFit="1" customWidth="1"/>
    <col min="6" max="7" width="12.28515625" style="2" customWidth="1"/>
    <col min="8" max="8" width="14.28515625" style="2" customWidth="1"/>
    <col min="9" max="9" width="11.7109375" style="2" customWidth="1"/>
    <col min="11" max="11" width="13.28515625" customWidth="1"/>
    <col min="12" max="12" width="16.28515625" customWidth="1"/>
  </cols>
  <sheetData>
    <row r="1" spans="1:11" x14ac:dyDescent="0.25">
      <c r="A1" s="66" t="s">
        <v>50</v>
      </c>
      <c r="B1" s="63" t="s">
        <v>23</v>
      </c>
      <c r="C1" s="64" t="s">
        <v>66</v>
      </c>
      <c r="E1" s="114"/>
      <c r="F1" s="46" t="s">
        <v>1</v>
      </c>
      <c r="G1" s="46" t="s">
        <v>3</v>
      </c>
      <c r="H1" s="115" t="s">
        <v>5</v>
      </c>
    </row>
    <row r="2" spans="1:11" x14ac:dyDescent="0.25">
      <c r="A2" s="67" t="s">
        <v>20</v>
      </c>
      <c r="B2" s="96" t="s">
        <v>20</v>
      </c>
      <c r="C2" s="97" t="str">
        <f>IF(B2="Trawl","Setline","Trawl")</f>
        <v>Setline</v>
      </c>
      <c r="E2" s="43" t="s">
        <v>64</v>
      </c>
      <c r="F2" s="39" t="s">
        <v>2</v>
      </c>
      <c r="G2" s="39" t="s">
        <v>4</v>
      </c>
      <c r="H2" s="42" t="s">
        <v>6</v>
      </c>
    </row>
    <row r="3" spans="1:11" x14ac:dyDescent="0.25">
      <c r="A3" s="68" t="s">
        <v>49</v>
      </c>
      <c r="B3" s="98" t="s">
        <v>21</v>
      </c>
      <c r="C3" s="99" t="str">
        <f>IF(B3="Trawl","Setline","Trawl")</f>
        <v>Trawl</v>
      </c>
      <c r="E3" s="44" t="s">
        <v>20</v>
      </c>
      <c r="F3" s="40">
        <v>2805</v>
      </c>
      <c r="G3" s="40">
        <v>3532</v>
      </c>
      <c r="H3" s="35">
        <v>1403</v>
      </c>
    </row>
    <row r="4" spans="1:11" x14ac:dyDescent="0.25">
      <c r="A4" s="10"/>
      <c r="B4"/>
      <c r="C4"/>
      <c r="E4" s="45" t="s">
        <v>49</v>
      </c>
      <c r="F4" s="41">
        <v>710</v>
      </c>
      <c r="G4" s="40">
        <v>894</v>
      </c>
      <c r="H4" s="35">
        <v>355</v>
      </c>
      <c r="I4"/>
    </row>
    <row r="5" spans="1:11" x14ac:dyDescent="0.25">
      <c r="A5"/>
      <c r="B5"/>
      <c r="C5"/>
      <c r="D5"/>
      <c r="E5" s="70" t="s">
        <v>58</v>
      </c>
      <c r="F5" s="50">
        <f>SUM(F3:F4)</f>
        <v>3515</v>
      </c>
      <c r="G5" s="51">
        <f>SUM(G3:G4)</f>
        <v>4426</v>
      </c>
      <c r="H5" s="52">
        <f>SUM(H3:H4)</f>
        <v>1758</v>
      </c>
      <c r="I5"/>
    </row>
    <row r="6" spans="1:11" x14ac:dyDescent="0.25">
      <c r="A6" s="177" t="s">
        <v>16</v>
      </c>
      <c r="B6" s="178"/>
      <c r="C6"/>
      <c r="D6"/>
      <c r="E6"/>
      <c r="F6"/>
      <c r="G6"/>
      <c r="H6"/>
      <c r="I6"/>
      <c r="J6" s="3"/>
      <c r="K6" s="2"/>
    </row>
    <row r="7" spans="1:11" x14ac:dyDescent="0.25">
      <c r="A7" s="71" t="s">
        <v>9</v>
      </c>
      <c r="B7" s="58" t="s">
        <v>54</v>
      </c>
      <c r="C7"/>
      <c r="D7" s="177" t="s">
        <v>17</v>
      </c>
      <c r="E7" s="178"/>
      <c r="F7"/>
      <c r="G7" s="179" t="s">
        <v>63</v>
      </c>
      <c r="H7" s="180"/>
      <c r="I7"/>
      <c r="J7" s="3"/>
      <c r="K7" s="2"/>
    </row>
    <row r="8" spans="1:11" x14ac:dyDescent="0.25">
      <c r="A8" s="72" t="s">
        <v>10</v>
      </c>
      <c r="B8" s="59" t="s">
        <v>54</v>
      </c>
      <c r="C8"/>
      <c r="D8" s="94" t="s">
        <v>11</v>
      </c>
      <c r="E8" s="58" t="s">
        <v>54</v>
      </c>
      <c r="F8"/>
      <c r="G8" s="73" t="s">
        <v>59</v>
      </c>
      <c r="H8" s="75">
        <v>0.15</v>
      </c>
      <c r="I8"/>
      <c r="J8" s="3"/>
      <c r="K8" s="2"/>
    </row>
    <row r="9" spans="1:11" x14ac:dyDescent="0.25">
      <c r="A9"/>
      <c r="B9"/>
      <c r="C9"/>
      <c r="D9" s="95" t="s">
        <v>12</v>
      </c>
      <c r="E9" s="59" t="s">
        <v>54</v>
      </c>
      <c r="F9"/>
      <c r="G9" s="74" t="s">
        <v>60</v>
      </c>
      <c r="H9" s="76">
        <v>0.15</v>
      </c>
      <c r="I9"/>
      <c r="J9" s="3"/>
      <c r="K9" s="3"/>
    </row>
    <row r="10" spans="1:11" ht="15" customHeight="1" x14ac:dyDescent="0.25">
      <c r="A10" s="172" t="s">
        <v>65</v>
      </c>
      <c r="B10" s="173"/>
      <c r="C10" s="174"/>
      <c r="I10"/>
    </row>
    <row r="11" spans="1:11" x14ac:dyDescent="0.25">
      <c r="A11" s="55"/>
      <c r="B11" s="56" t="s">
        <v>18</v>
      </c>
      <c r="C11" s="57" t="s">
        <v>19</v>
      </c>
    </row>
    <row r="12" spans="1:11" ht="15" customHeight="1" x14ac:dyDescent="0.25">
      <c r="A12" s="53" t="s">
        <v>20</v>
      </c>
      <c r="B12" s="40" t="s">
        <v>83</v>
      </c>
      <c r="C12" s="40" t="s">
        <v>83</v>
      </c>
      <c r="D12" s="11">
        <f>IF(B12="Mean",AVERAGE(B32:B52),VLOOKUP(B12,A32:D52,2))</f>
        <v>150470.38095238095</v>
      </c>
      <c r="E12" s="11">
        <f>IF(C12="Mean",AVERAGE(D32:D52),VLOOKUP(C12,A32:D52,4))</f>
        <v>10443.571428571429</v>
      </c>
      <c r="G12"/>
      <c r="H12"/>
      <c r="I12"/>
    </row>
    <row r="13" spans="1:11" x14ac:dyDescent="0.25">
      <c r="A13" s="54" t="s">
        <v>49</v>
      </c>
      <c r="B13" s="41" t="s">
        <v>83</v>
      </c>
      <c r="C13" s="41" t="s">
        <v>83</v>
      </c>
      <c r="D13" s="11">
        <f>IF(B13="Mean",AVERAGE(B72:B92),VLOOKUP(B13,A72:D92,2))</f>
        <v>10443.571428571429</v>
      </c>
      <c r="E13" s="11">
        <f>IF(C13="Mean",AVERAGE(D72:D92),VLOOKUP(C13,A72:D92,4))</f>
        <v>150470.38095238095</v>
      </c>
      <c r="G13"/>
      <c r="H13"/>
      <c r="I13"/>
    </row>
    <row r="14" spans="1:11" x14ac:dyDescent="0.25">
      <c r="A14"/>
      <c r="B14"/>
      <c r="C14"/>
      <c r="D14"/>
      <c r="E14"/>
      <c r="F14"/>
      <c r="G14"/>
      <c r="H14"/>
      <c r="I14"/>
    </row>
    <row r="15" spans="1:11" x14ac:dyDescent="0.25">
      <c r="A15"/>
      <c r="B15"/>
      <c r="C15"/>
      <c r="D15"/>
      <c r="E15"/>
      <c r="F15"/>
      <c r="G15"/>
      <c r="H15"/>
      <c r="I15"/>
    </row>
    <row r="16" spans="1:11" x14ac:dyDescent="0.25">
      <c r="A16"/>
      <c r="B16"/>
      <c r="C16"/>
      <c r="D16"/>
      <c r="E16"/>
      <c r="F16"/>
      <c r="G16"/>
      <c r="H16"/>
      <c r="I16"/>
    </row>
    <row r="17" spans="1:17" x14ac:dyDescent="0.25">
      <c r="A17"/>
      <c r="B17"/>
      <c r="C17"/>
      <c r="D17"/>
      <c r="E17"/>
      <c r="F17"/>
      <c r="G17"/>
      <c r="H17"/>
      <c r="I17"/>
    </row>
    <row r="18" spans="1:17" x14ac:dyDescent="0.25">
      <c r="A18"/>
      <c r="B18"/>
      <c r="C18"/>
      <c r="D18"/>
      <c r="E18"/>
      <c r="F18"/>
      <c r="G18"/>
      <c r="H18"/>
      <c r="I18"/>
    </row>
    <row r="19" spans="1:17" x14ac:dyDescent="0.25">
      <c r="A19"/>
      <c r="B19"/>
      <c r="C19"/>
      <c r="D19"/>
      <c r="E19"/>
      <c r="F19"/>
      <c r="G19"/>
      <c r="H19"/>
      <c r="I19"/>
    </row>
    <row r="20" spans="1:17" x14ac:dyDescent="0.25">
      <c r="A20"/>
      <c r="B20"/>
      <c r="C20"/>
      <c r="D20"/>
      <c r="E20"/>
      <c r="F20"/>
      <c r="G20"/>
      <c r="H20"/>
      <c r="I20"/>
    </row>
    <row r="21" spans="1:17" x14ac:dyDescent="0.25">
      <c r="A21"/>
      <c r="B21"/>
      <c r="C21"/>
      <c r="D21"/>
      <c r="E21"/>
      <c r="F21"/>
      <c r="G21"/>
      <c r="H21"/>
      <c r="I21"/>
    </row>
    <row r="22" spans="1:17" x14ac:dyDescent="0.25">
      <c r="A22"/>
      <c r="B22"/>
      <c r="C22"/>
      <c r="D22"/>
      <c r="E22"/>
      <c r="F22"/>
      <c r="G22"/>
      <c r="H22"/>
      <c r="I22"/>
    </row>
    <row r="23" spans="1:17" x14ac:dyDescent="0.25">
      <c r="A23"/>
      <c r="B23"/>
      <c r="C23"/>
      <c r="D23"/>
      <c r="E23"/>
      <c r="F23"/>
      <c r="G23"/>
      <c r="H23"/>
      <c r="I23"/>
    </row>
    <row r="24" spans="1:17" x14ac:dyDescent="0.25">
      <c r="C24" s="4"/>
      <c r="D24" s="7"/>
      <c r="E24" s="7"/>
    </row>
    <row r="25" spans="1:17" x14ac:dyDescent="0.25">
      <c r="C25" s="4"/>
      <c r="D25" s="7"/>
      <c r="E25" s="7"/>
    </row>
    <row r="26" spans="1:17" x14ac:dyDescent="0.25">
      <c r="C26" s="4"/>
      <c r="D26" s="7"/>
      <c r="E26" s="7"/>
    </row>
    <row r="27" spans="1:17" x14ac:dyDescent="0.25">
      <c r="C27" s="4"/>
      <c r="D27" s="7"/>
      <c r="E27" s="7"/>
    </row>
    <row r="28" spans="1:17" x14ac:dyDescent="0.25">
      <c r="C28" s="4"/>
      <c r="D28" s="7"/>
      <c r="E28" s="7"/>
    </row>
    <row r="29" spans="1:17" ht="15.75" thickBot="1" x14ac:dyDescent="0.3">
      <c r="C29" s="4"/>
      <c r="D29" s="7"/>
      <c r="E29" s="7"/>
    </row>
    <row r="30" spans="1:17" ht="14.65" customHeight="1" x14ac:dyDescent="0.25">
      <c r="A30" s="132" t="s">
        <v>91</v>
      </c>
      <c r="B30" s="133"/>
      <c r="C30" s="133"/>
      <c r="D30" s="133"/>
      <c r="E30" s="133"/>
      <c r="F30" s="133"/>
      <c r="G30" s="133"/>
      <c r="H30" s="133"/>
      <c r="I30" s="133"/>
      <c r="J30" s="133"/>
      <c r="K30" s="134"/>
    </row>
    <row r="31" spans="1:17" ht="45" x14ac:dyDescent="0.25">
      <c r="A31" s="77" t="s">
        <v>0</v>
      </c>
      <c r="B31" s="78" t="s">
        <v>38</v>
      </c>
      <c r="C31" s="78" t="s">
        <v>7</v>
      </c>
      <c r="D31" s="78" t="s">
        <v>39</v>
      </c>
      <c r="E31" s="78" t="s">
        <v>8</v>
      </c>
      <c r="F31" s="65"/>
      <c r="G31" s="78" t="s">
        <v>27</v>
      </c>
      <c r="H31" s="79" t="s">
        <v>26</v>
      </c>
      <c r="I31" s="78" t="s">
        <v>40</v>
      </c>
      <c r="J31" s="79" t="s">
        <v>28</v>
      </c>
      <c r="K31" s="80" t="s">
        <v>29</v>
      </c>
      <c r="L31" s="1"/>
      <c r="N31" s="12" t="s">
        <v>30</v>
      </c>
      <c r="O31" s="12" t="s">
        <v>31</v>
      </c>
      <c r="P31" s="12" t="s">
        <v>32</v>
      </c>
      <c r="Q31" s="12" t="s">
        <v>33</v>
      </c>
    </row>
    <row r="32" spans="1:17" x14ac:dyDescent="0.25">
      <c r="A32" s="81">
        <v>1998</v>
      </c>
      <c r="B32" s="21">
        <f>IF($B$2="Trawl",Indices!B2,Indices!C2)</f>
        <v>161256</v>
      </c>
      <c r="C32" s="22">
        <f t="shared" ref="C32:C52" si="0">B32/D$12</f>
        <v>1.0716793496457775</v>
      </c>
      <c r="D32" s="21">
        <f>IF($C$2="Trawl",Indices!B2,Indices!C2)</f>
        <v>18502</v>
      </c>
      <c r="E32" s="22">
        <f>D32/E$12</f>
        <v>1.7716161685247245</v>
      </c>
      <c r="F32" s="65"/>
      <c r="G32" s="135">
        <f>INDEX($C$58:$M$68,N32,O32)</f>
        <v>3241.2</v>
      </c>
      <c r="H32" s="65"/>
      <c r="I32" s="82">
        <f t="shared" ref="I32:I51" si="1">IF(H32&gt;0,IF(ABS(H32)&gt;$H$8,G31*(1+SIGN(H32)*$H$8),G32),IF(ABS(H32)&gt;$H$9,G31*(1+SIGN(H32)*$H$9),G32))</f>
        <v>3241.2</v>
      </c>
      <c r="J32" s="65"/>
      <c r="K32" s="83"/>
      <c r="L32" s="2"/>
      <c r="N32" s="12">
        <f>MATCH(MIN($B$58,MAX($B$68,ROUND(C32,1))),$B$58:$B$68,0)</f>
        <v>5</v>
      </c>
      <c r="O32" s="12">
        <f>MATCH(MIN($M$57,MAX($C$57,ROUND(E32,1))),$C$57:$M$57,0)</f>
        <v>11</v>
      </c>
      <c r="P32" s="12">
        <f>$H$3</f>
        <v>1403</v>
      </c>
      <c r="Q32" s="12">
        <f>$G$3</f>
        <v>3532</v>
      </c>
    </row>
    <row r="33" spans="1:17" x14ac:dyDescent="0.25">
      <c r="A33" s="81">
        <v>1999</v>
      </c>
      <c r="B33" s="21">
        <f>IF($B$2="Trawl",Indices!B3,Indices!C3)</f>
        <v>129116</v>
      </c>
      <c r="C33" s="22">
        <f t="shared" si="0"/>
        <v>0.8580824955900197</v>
      </c>
      <c r="D33" s="21">
        <f>IF($C$2="Trawl",Indices!B3,Indices!C3)</f>
        <v>16201</v>
      </c>
      <c r="E33" s="22">
        <f t="shared" ref="E33:E52" si="2">D33/E$12</f>
        <v>1.5512892415019492</v>
      </c>
      <c r="F33" s="65"/>
      <c r="G33" s="135">
        <f t="shared" ref="G33:G54" si="3">INDEX($C$58:$M$68,N33,O33)</f>
        <v>3095.7999999999997</v>
      </c>
      <c r="H33" s="84">
        <f>(G33-G32)/G32</f>
        <v>-4.4859928421572284E-2</v>
      </c>
      <c r="I33" s="82">
        <f t="shared" si="1"/>
        <v>3095.7999999999997</v>
      </c>
      <c r="J33" s="84">
        <f>(G33-I32)/I32</f>
        <v>-4.4859928421572284E-2</v>
      </c>
      <c r="K33" s="85">
        <f>(I33-I32)/I32</f>
        <v>-4.4859928421572284E-2</v>
      </c>
      <c r="L33" s="2"/>
      <c r="N33" s="12">
        <f t="shared" ref="N33:N51" si="4">MATCH(MIN($B$58,MAX($B$68,ROUND(C33,1))),$B$58:$B$68,0)</f>
        <v>7</v>
      </c>
      <c r="O33" s="12">
        <f t="shared" ref="O33:O51" si="5">MATCH(MIN($M$57,MAX($C$57,ROUND(E33,1))),$C$57:$M$57,0)</f>
        <v>11</v>
      </c>
      <c r="P33" s="12">
        <f t="shared" ref="P33:P52" si="6">$H$3</f>
        <v>1403</v>
      </c>
      <c r="Q33" s="12">
        <f t="shared" ref="Q33:Q52" si="7">$G$3</f>
        <v>3532</v>
      </c>
    </row>
    <row r="34" spans="1:17" x14ac:dyDescent="0.25">
      <c r="A34" s="81">
        <v>2000</v>
      </c>
      <c r="B34" s="21">
        <f>IF($B$2="Trawl",Indices!B4,Indices!C4)</f>
        <v>118677</v>
      </c>
      <c r="C34" s="22">
        <f t="shared" si="0"/>
        <v>0.78870671589219588</v>
      </c>
      <c r="D34" s="21">
        <f>IF($C$2="Trawl",Indices!B4,Indices!C4)</f>
        <v>16203</v>
      </c>
      <c r="E34" s="22">
        <f t="shared" si="2"/>
        <v>1.5514807468709388</v>
      </c>
      <c r="F34" s="65"/>
      <c r="G34" s="135">
        <f t="shared" si="3"/>
        <v>3023.1</v>
      </c>
      <c r="H34" s="84">
        <f t="shared" ref="H34:H52" si="8">(G34-G33)/G33</f>
        <v>-2.3483429162090518E-2</v>
      </c>
      <c r="I34" s="82">
        <f t="shared" si="1"/>
        <v>3023.1</v>
      </c>
      <c r="J34" s="84">
        <f>(G34-I33)/I33</f>
        <v>-2.3483429162090518E-2</v>
      </c>
      <c r="K34" s="85">
        <f>(I34-I33)/I33</f>
        <v>-2.3483429162090518E-2</v>
      </c>
      <c r="L34" s="2"/>
      <c r="N34" s="12">
        <f t="shared" si="4"/>
        <v>8</v>
      </c>
      <c r="O34" s="12">
        <f t="shared" si="5"/>
        <v>11</v>
      </c>
      <c r="P34" s="12">
        <f t="shared" si="6"/>
        <v>1403</v>
      </c>
      <c r="Q34" s="12">
        <f t="shared" si="7"/>
        <v>3532</v>
      </c>
    </row>
    <row r="35" spans="1:17" x14ac:dyDescent="0.25">
      <c r="A35" s="81">
        <v>2001</v>
      </c>
      <c r="B35" s="21">
        <f>IF($B$2="Trawl",Indices!B5,Indices!C5)</f>
        <v>141219</v>
      </c>
      <c r="C35" s="22">
        <f t="shared" si="0"/>
        <v>0.9385169300840096</v>
      </c>
      <c r="D35" s="21">
        <f>IF($C$2="Trawl",Indices!B5,Indices!C5)</f>
        <v>13780</v>
      </c>
      <c r="E35" s="22">
        <f t="shared" si="2"/>
        <v>1.3194719923397851</v>
      </c>
      <c r="F35" s="65"/>
      <c r="G35" s="135">
        <f t="shared" si="3"/>
        <v>2950.4</v>
      </c>
      <c r="H35" s="84">
        <f t="shared" si="8"/>
        <v>-2.4048162482220178E-2</v>
      </c>
      <c r="I35" s="82">
        <f t="shared" si="1"/>
        <v>2950.4</v>
      </c>
      <c r="J35" s="84">
        <f t="shared" ref="J35:J51" si="9">(G35-I34)/I34</f>
        <v>-2.4048162482220178E-2</v>
      </c>
      <c r="K35" s="85">
        <f t="shared" ref="K35:K51" si="10">(I35-I34)/I34</f>
        <v>-2.4048162482220178E-2</v>
      </c>
      <c r="L35" s="2"/>
      <c r="N35" s="12">
        <f t="shared" si="4"/>
        <v>7</v>
      </c>
      <c r="O35" s="12">
        <f t="shared" si="5"/>
        <v>9</v>
      </c>
      <c r="P35" s="12">
        <f t="shared" si="6"/>
        <v>1403</v>
      </c>
      <c r="Q35" s="12">
        <f t="shared" si="7"/>
        <v>3532</v>
      </c>
    </row>
    <row r="36" spans="1:17" x14ac:dyDescent="0.25">
      <c r="A36" s="81">
        <v>2002</v>
      </c>
      <c r="B36" s="21">
        <f>IF($B$2="Trawl",Indices!B6,Indices!C6)</f>
        <v>101706</v>
      </c>
      <c r="C36" s="22">
        <f t="shared" si="0"/>
        <v>0.67592039945846016</v>
      </c>
      <c r="D36" s="21">
        <f>IF($C$2="Trawl",Indices!B6,Indices!C6)</f>
        <v>12104</v>
      </c>
      <c r="E36" s="22">
        <f t="shared" si="2"/>
        <v>1.1589904931263251</v>
      </c>
      <c r="F36" s="65"/>
      <c r="G36" s="135">
        <f t="shared" si="3"/>
        <v>2664.7999999999993</v>
      </c>
      <c r="H36" s="84">
        <f t="shared" si="8"/>
        <v>-9.6800433839479672E-2</v>
      </c>
      <c r="I36" s="82">
        <f t="shared" si="1"/>
        <v>2664.7999999999993</v>
      </c>
      <c r="J36" s="84">
        <f t="shared" si="9"/>
        <v>-9.6800433839479672E-2</v>
      </c>
      <c r="K36" s="85">
        <f t="shared" si="10"/>
        <v>-9.6800433839479672E-2</v>
      </c>
      <c r="L36" s="2"/>
      <c r="N36" s="12">
        <f t="shared" si="4"/>
        <v>9</v>
      </c>
      <c r="O36" s="12">
        <f t="shared" si="5"/>
        <v>8</v>
      </c>
      <c r="P36" s="12">
        <f t="shared" si="6"/>
        <v>1403</v>
      </c>
      <c r="Q36" s="12">
        <f t="shared" si="7"/>
        <v>3532</v>
      </c>
    </row>
    <row r="37" spans="1:17" x14ac:dyDescent="0.25">
      <c r="A37" s="81">
        <v>2003</v>
      </c>
      <c r="B37" s="21">
        <f>IF($B$2="Trawl",Indices!B7,Indices!C7)</f>
        <v>132151</v>
      </c>
      <c r="C37" s="22">
        <f t="shared" si="0"/>
        <v>0.87825257810586366</v>
      </c>
      <c r="D37" s="21">
        <f>IF($C$2="Trawl",Indices!B7,Indices!C7)</f>
        <v>10866</v>
      </c>
      <c r="E37" s="22">
        <f t="shared" si="2"/>
        <v>1.0404486697216331</v>
      </c>
      <c r="F37" s="65"/>
      <c r="G37" s="135">
        <f t="shared" si="3"/>
        <v>2664.7999999999993</v>
      </c>
      <c r="H37" s="84">
        <f t="shared" si="8"/>
        <v>0</v>
      </c>
      <c r="I37" s="82">
        <f t="shared" si="1"/>
        <v>2664.7999999999993</v>
      </c>
      <c r="J37" s="84">
        <f t="shared" si="9"/>
        <v>0</v>
      </c>
      <c r="K37" s="85">
        <f t="shared" si="10"/>
        <v>0</v>
      </c>
      <c r="L37" s="2"/>
      <c r="N37" s="12">
        <f t="shared" si="4"/>
        <v>7</v>
      </c>
      <c r="O37" s="12">
        <f t="shared" si="5"/>
        <v>6</v>
      </c>
      <c r="P37" s="12">
        <f t="shared" si="6"/>
        <v>1403</v>
      </c>
      <c r="Q37" s="12">
        <f t="shared" si="7"/>
        <v>3532</v>
      </c>
    </row>
    <row r="38" spans="1:17" x14ac:dyDescent="0.25">
      <c r="A38" s="81">
        <v>2004</v>
      </c>
      <c r="B38" s="21">
        <f>IF($B$2="Trawl",Indices!B8,Indices!C8)</f>
        <v>130075</v>
      </c>
      <c r="C38" s="22">
        <f t="shared" si="0"/>
        <v>0.86445584291545441</v>
      </c>
      <c r="D38" s="21">
        <f>IF($C$2="Trawl",Indices!B8,Indices!C8)</f>
        <v>9987</v>
      </c>
      <c r="E38" s="22">
        <f t="shared" si="2"/>
        <v>0.95628206005061211</v>
      </c>
      <c r="F38" s="65"/>
      <c r="G38" s="135">
        <f t="shared" si="3"/>
        <v>2664.7999999999993</v>
      </c>
      <c r="H38" s="84">
        <f t="shared" si="8"/>
        <v>0</v>
      </c>
      <c r="I38" s="82">
        <f t="shared" si="1"/>
        <v>2664.7999999999993</v>
      </c>
      <c r="J38" s="84">
        <f t="shared" si="9"/>
        <v>0</v>
      </c>
      <c r="K38" s="85">
        <f t="shared" si="10"/>
        <v>0</v>
      </c>
      <c r="L38" s="2"/>
      <c r="N38" s="12">
        <f t="shared" si="4"/>
        <v>7</v>
      </c>
      <c r="O38" s="12">
        <f t="shared" si="5"/>
        <v>6</v>
      </c>
      <c r="P38" s="12">
        <f t="shared" si="6"/>
        <v>1403</v>
      </c>
      <c r="Q38" s="12">
        <f t="shared" si="7"/>
        <v>3532</v>
      </c>
    </row>
    <row r="39" spans="1:17" x14ac:dyDescent="0.25">
      <c r="A39" s="81">
        <v>2005</v>
      </c>
      <c r="B39" s="21">
        <f>IF($B$2="Trawl",Indices!B9,Indices!C9)</f>
        <v>132518</v>
      </c>
      <c r="C39" s="22">
        <f t="shared" si="0"/>
        <v>0.88069159632112382</v>
      </c>
      <c r="D39" s="21">
        <f>IF($C$2="Trawl",Indices!B9,Indices!C9)</f>
        <v>9550</v>
      </c>
      <c r="E39" s="22">
        <f t="shared" si="2"/>
        <v>0.9144381369263388</v>
      </c>
      <c r="F39" s="65"/>
      <c r="G39" s="135">
        <f t="shared" si="3"/>
        <v>2524.5999999999995</v>
      </c>
      <c r="H39" s="84">
        <f t="shared" si="8"/>
        <v>-5.2611828279795804E-2</v>
      </c>
      <c r="I39" s="82">
        <f t="shared" si="1"/>
        <v>2524.5999999999995</v>
      </c>
      <c r="J39" s="84">
        <f t="shared" si="9"/>
        <v>-5.2611828279795804E-2</v>
      </c>
      <c r="K39" s="85">
        <f t="shared" si="10"/>
        <v>-5.2611828279795804E-2</v>
      </c>
      <c r="L39" s="2"/>
      <c r="N39" s="12">
        <f t="shared" si="4"/>
        <v>7</v>
      </c>
      <c r="O39" s="12">
        <f t="shared" si="5"/>
        <v>5</v>
      </c>
      <c r="P39" s="12">
        <f t="shared" si="6"/>
        <v>1403</v>
      </c>
      <c r="Q39" s="12">
        <f t="shared" si="7"/>
        <v>3532</v>
      </c>
    </row>
    <row r="40" spans="1:17" x14ac:dyDescent="0.25">
      <c r="A40" s="81">
        <v>2006</v>
      </c>
      <c r="B40" s="21">
        <f>IF($B$2="Trawl",Indices!B10,Indices!C10)</f>
        <v>155964</v>
      </c>
      <c r="C40" s="22">
        <f t="shared" si="0"/>
        <v>1.0365096373973932</v>
      </c>
      <c r="D40" s="21">
        <f>IF($C$2="Trawl",Indices!B10,Indices!C10)</f>
        <v>9802</v>
      </c>
      <c r="E40" s="22">
        <f t="shared" si="2"/>
        <v>0.93856781341905471</v>
      </c>
      <c r="F40" s="65"/>
      <c r="G40" s="135">
        <f t="shared" si="3"/>
        <v>2664.7999999999993</v>
      </c>
      <c r="H40" s="84">
        <f t="shared" si="8"/>
        <v>5.5533549869286165E-2</v>
      </c>
      <c r="I40" s="82">
        <f t="shared" si="1"/>
        <v>2664.7999999999993</v>
      </c>
      <c r="J40" s="84">
        <f t="shared" si="9"/>
        <v>5.5533549869286165E-2</v>
      </c>
      <c r="K40" s="85">
        <f t="shared" si="10"/>
        <v>5.5533549869286165E-2</v>
      </c>
      <c r="L40" s="2"/>
      <c r="N40" s="12">
        <f t="shared" si="4"/>
        <v>6</v>
      </c>
      <c r="O40" s="12">
        <f t="shared" si="5"/>
        <v>5</v>
      </c>
      <c r="P40" s="12">
        <f t="shared" si="6"/>
        <v>1403</v>
      </c>
      <c r="Q40" s="12">
        <f t="shared" si="7"/>
        <v>3532</v>
      </c>
    </row>
    <row r="41" spans="1:17" x14ac:dyDescent="0.25">
      <c r="A41" s="81">
        <v>2007</v>
      </c>
      <c r="B41" s="21">
        <f>IF($B$2="Trawl",Indices!B11,Indices!C11)</f>
        <v>143903</v>
      </c>
      <c r="C41" s="22">
        <f t="shared" si="0"/>
        <v>0.95635432760378725</v>
      </c>
      <c r="D41" s="21">
        <f>IF($C$2="Trawl",Indices!B11,Indices!C11)</f>
        <v>9673</v>
      </c>
      <c r="E41" s="22">
        <f t="shared" si="2"/>
        <v>0.92621571711921202</v>
      </c>
      <c r="F41" s="65"/>
      <c r="G41" s="135">
        <f t="shared" si="3"/>
        <v>2664.7999999999993</v>
      </c>
      <c r="H41" s="84">
        <f t="shared" si="8"/>
        <v>0</v>
      </c>
      <c r="I41" s="82">
        <f t="shared" si="1"/>
        <v>2664.7999999999993</v>
      </c>
      <c r="J41" s="84">
        <f t="shared" si="9"/>
        <v>0</v>
      </c>
      <c r="K41" s="85">
        <f t="shared" si="10"/>
        <v>0</v>
      </c>
      <c r="L41" s="2"/>
      <c r="N41" s="12">
        <f t="shared" si="4"/>
        <v>6</v>
      </c>
      <c r="O41" s="12">
        <f t="shared" si="5"/>
        <v>5</v>
      </c>
      <c r="P41" s="12">
        <f t="shared" si="6"/>
        <v>1403</v>
      </c>
      <c r="Q41" s="12">
        <f t="shared" si="7"/>
        <v>3532</v>
      </c>
    </row>
    <row r="42" spans="1:17" x14ac:dyDescent="0.25">
      <c r="A42" s="81">
        <v>2008</v>
      </c>
      <c r="B42" s="21">
        <f>IF($B$2="Trawl",Indices!B12,Indices!C12)</f>
        <v>140247</v>
      </c>
      <c r="C42" s="22">
        <f t="shared" si="0"/>
        <v>0.93205718701797979</v>
      </c>
      <c r="D42" s="21">
        <f>IF($C$2="Trawl",Indices!B12,Indices!C12)</f>
        <v>10264</v>
      </c>
      <c r="E42" s="22">
        <f t="shared" si="2"/>
        <v>0.98280555365570066</v>
      </c>
      <c r="F42" s="65"/>
      <c r="G42" s="135">
        <f t="shared" si="3"/>
        <v>2664.7999999999993</v>
      </c>
      <c r="H42" s="84">
        <f t="shared" si="8"/>
        <v>0</v>
      </c>
      <c r="I42" s="82">
        <f t="shared" si="1"/>
        <v>2664.7999999999993</v>
      </c>
      <c r="J42" s="84">
        <f t="shared" si="9"/>
        <v>0</v>
      </c>
      <c r="K42" s="85">
        <f t="shared" si="10"/>
        <v>0</v>
      </c>
      <c r="L42" s="2"/>
      <c r="N42" s="12">
        <f t="shared" si="4"/>
        <v>7</v>
      </c>
      <c r="O42" s="12">
        <f t="shared" si="5"/>
        <v>6</v>
      </c>
      <c r="P42" s="12">
        <f t="shared" si="6"/>
        <v>1403</v>
      </c>
      <c r="Q42" s="12">
        <f t="shared" si="7"/>
        <v>3532</v>
      </c>
    </row>
    <row r="43" spans="1:17" x14ac:dyDescent="0.25">
      <c r="A43" s="81">
        <v>2009</v>
      </c>
      <c r="B43" s="21">
        <f>IF($B$2="Trawl",Indices!B13,Indices!C13)</f>
        <v>168102</v>
      </c>
      <c r="C43" s="22">
        <f t="shared" si="0"/>
        <v>1.1171766758083699</v>
      </c>
      <c r="D43" s="21">
        <f>IF($C$2="Trawl",Indices!B13,Indices!C13)</f>
        <v>9834</v>
      </c>
      <c r="E43" s="22">
        <f t="shared" si="2"/>
        <v>0.94163189932289171</v>
      </c>
      <c r="F43" s="65"/>
      <c r="G43" s="135">
        <f t="shared" si="3"/>
        <v>2805</v>
      </c>
      <c r="H43" s="84">
        <f t="shared" si="8"/>
        <v>5.2611828279796144E-2</v>
      </c>
      <c r="I43" s="82">
        <f t="shared" si="1"/>
        <v>2805</v>
      </c>
      <c r="J43" s="84">
        <f t="shared" si="9"/>
        <v>5.2611828279796144E-2</v>
      </c>
      <c r="K43" s="85">
        <f t="shared" si="10"/>
        <v>5.2611828279796144E-2</v>
      </c>
      <c r="L43" s="2"/>
      <c r="N43" s="12">
        <f t="shared" si="4"/>
        <v>5</v>
      </c>
      <c r="O43" s="12">
        <f t="shared" si="5"/>
        <v>5</v>
      </c>
      <c r="P43" s="12">
        <f t="shared" si="6"/>
        <v>1403</v>
      </c>
      <c r="Q43" s="12">
        <f t="shared" si="7"/>
        <v>3532</v>
      </c>
    </row>
    <row r="44" spans="1:17" x14ac:dyDescent="0.25">
      <c r="A44" s="81">
        <v>2010</v>
      </c>
      <c r="B44" s="21">
        <f>IF($B$2="Trawl",Indices!B14,Indices!C14)</f>
        <v>195535</v>
      </c>
      <c r="C44" s="22">
        <f t="shared" si="0"/>
        <v>1.2994916259425207</v>
      </c>
      <c r="D44" s="21">
        <f>IF($C$2="Trawl",Indices!B14,Indices!C14)</f>
        <v>9146</v>
      </c>
      <c r="E44" s="22">
        <f t="shared" si="2"/>
        <v>0.87575405239039728</v>
      </c>
      <c r="F44" s="65"/>
      <c r="G44" s="135">
        <f t="shared" si="3"/>
        <v>2950.4</v>
      </c>
      <c r="H44" s="84">
        <f t="shared" si="8"/>
        <v>5.183600713012481E-2</v>
      </c>
      <c r="I44" s="82">
        <f t="shared" si="1"/>
        <v>2950.4</v>
      </c>
      <c r="J44" s="84">
        <f t="shared" si="9"/>
        <v>5.183600713012481E-2</v>
      </c>
      <c r="K44" s="85">
        <f t="shared" si="10"/>
        <v>5.183600713012481E-2</v>
      </c>
      <c r="L44" s="2"/>
      <c r="N44" s="12">
        <f t="shared" si="4"/>
        <v>3</v>
      </c>
      <c r="O44" s="12">
        <f t="shared" si="5"/>
        <v>5</v>
      </c>
      <c r="P44" s="12">
        <f t="shared" si="6"/>
        <v>1403</v>
      </c>
      <c r="Q44" s="12">
        <f t="shared" si="7"/>
        <v>3532</v>
      </c>
    </row>
    <row r="45" spans="1:17" x14ac:dyDescent="0.25">
      <c r="A45" s="81">
        <v>2011</v>
      </c>
      <c r="B45" s="21">
        <f>IF($B$2="Trawl",Indices!B15,Indices!C15)</f>
        <v>186666</v>
      </c>
      <c r="C45" s="22">
        <f t="shared" si="0"/>
        <v>1.2405497933780989</v>
      </c>
      <c r="D45" s="21">
        <f>IF($C$2="Trawl",Indices!B15,Indices!C15)</f>
        <v>8669</v>
      </c>
      <c r="E45" s="22">
        <f t="shared" si="2"/>
        <v>0.83008002188632779</v>
      </c>
      <c r="F45" s="65"/>
      <c r="G45" s="135">
        <f t="shared" si="3"/>
        <v>2805</v>
      </c>
      <c r="H45" s="84">
        <f t="shared" si="8"/>
        <v>-4.9281453362255992E-2</v>
      </c>
      <c r="I45" s="82">
        <f t="shared" si="1"/>
        <v>2805</v>
      </c>
      <c r="J45" s="84">
        <f t="shared" si="9"/>
        <v>-4.9281453362255992E-2</v>
      </c>
      <c r="K45" s="85">
        <f t="shared" si="10"/>
        <v>-4.9281453362255992E-2</v>
      </c>
      <c r="L45" s="2"/>
      <c r="N45" s="12">
        <f t="shared" si="4"/>
        <v>4</v>
      </c>
      <c r="O45" s="12">
        <f t="shared" si="5"/>
        <v>4</v>
      </c>
      <c r="P45" s="12">
        <f t="shared" si="6"/>
        <v>1403</v>
      </c>
      <c r="Q45" s="12">
        <f t="shared" si="7"/>
        <v>3532</v>
      </c>
    </row>
    <row r="46" spans="1:17" x14ac:dyDescent="0.25">
      <c r="A46" s="81">
        <v>2012</v>
      </c>
      <c r="B46" s="21">
        <f>IF($B$2="Trawl",Indices!B16,Indices!C16)</f>
        <v>189000</v>
      </c>
      <c r="C46" s="22">
        <f t="shared" si="0"/>
        <v>1.2560611517280098</v>
      </c>
      <c r="D46" s="21">
        <f>IF($C$2="Trawl",Indices!B16,Indices!C16)</f>
        <v>8403</v>
      </c>
      <c r="E46" s="22">
        <f t="shared" si="2"/>
        <v>0.80460980781068325</v>
      </c>
      <c r="F46" s="65"/>
      <c r="G46" s="135">
        <f t="shared" si="3"/>
        <v>2877.7000000000003</v>
      </c>
      <c r="H46" s="84">
        <f t="shared" si="8"/>
        <v>2.5918003565062485E-2</v>
      </c>
      <c r="I46" s="82">
        <f t="shared" si="1"/>
        <v>2877.7000000000003</v>
      </c>
      <c r="J46" s="84">
        <f t="shared" si="9"/>
        <v>2.5918003565062485E-2</v>
      </c>
      <c r="K46" s="85">
        <f t="shared" si="10"/>
        <v>2.5918003565062485E-2</v>
      </c>
      <c r="L46" s="2"/>
      <c r="N46" s="12">
        <f t="shared" si="4"/>
        <v>3</v>
      </c>
      <c r="O46" s="12">
        <f t="shared" si="5"/>
        <v>4</v>
      </c>
      <c r="P46" s="12">
        <f t="shared" si="6"/>
        <v>1403</v>
      </c>
      <c r="Q46" s="12">
        <f t="shared" si="7"/>
        <v>3532</v>
      </c>
    </row>
    <row r="47" spans="1:17" x14ac:dyDescent="0.25">
      <c r="A47" s="81">
        <v>2013</v>
      </c>
      <c r="B47" s="21">
        <f>IF($B$2="Trawl",Indices!B17,Indices!C17)</f>
        <v>183989</v>
      </c>
      <c r="C47" s="22">
        <f t="shared" si="0"/>
        <v>1.2227589166417185</v>
      </c>
      <c r="D47" s="21">
        <f>IF($C$2="Trawl",Indices!B17,Indices!C17)</f>
        <v>7989</v>
      </c>
      <c r="E47" s="22">
        <f t="shared" si="2"/>
        <v>0.76496819642979275</v>
      </c>
      <c r="F47" s="65"/>
      <c r="G47" s="135">
        <f t="shared" si="3"/>
        <v>2805</v>
      </c>
      <c r="H47" s="84">
        <f t="shared" si="8"/>
        <v>-2.5263231052576805E-2</v>
      </c>
      <c r="I47" s="82">
        <f t="shared" si="1"/>
        <v>2805</v>
      </c>
      <c r="J47" s="84">
        <f t="shared" si="9"/>
        <v>-2.5263231052576805E-2</v>
      </c>
      <c r="K47" s="85">
        <f t="shared" si="10"/>
        <v>-2.5263231052576805E-2</v>
      </c>
      <c r="L47" s="2"/>
      <c r="N47" s="12">
        <f t="shared" si="4"/>
        <v>4</v>
      </c>
      <c r="O47" s="12">
        <f t="shared" si="5"/>
        <v>4</v>
      </c>
      <c r="P47" s="12">
        <f t="shared" si="6"/>
        <v>1403</v>
      </c>
      <c r="Q47" s="12">
        <f t="shared" si="7"/>
        <v>3532</v>
      </c>
    </row>
    <row r="48" spans="1:17" x14ac:dyDescent="0.25">
      <c r="A48" s="81">
        <v>2014</v>
      </c>
      <c r="B48" s="21">
        <f>IF($B$2="Trawl",Indices!B18,Indices!C18)</f>
        <v>171427</v>
      </c>
      <c r="C48" s="22">
        <f t="shared" si="0"/>
        <v>1.1392740479221033</v>
      </c>
      <c r="D48" s="21">
        <f>IF($C$2="Trawl",Indices!B18,Indices!C18)</f>
        <v>7995</v>
      </c>
      <c r="E48" s="22">
        <f t="shared" si="2"/>
        <v>0.76554271253676209</v>
      </c>
      <c r="F48" s="65"/>
      <c r="G48" s="135">
        <f t="shared" si="3"/>
        <v>2664.7999999999997</v>
      </c>
      <c r="H48" s="84">
        <f t="shared" si="8"/>
        <v>-4.9982174688057136E-2</v>
      </c>
      <c r="I48" s="82">
        <f t="shared" si="1"/>
        <v>2664.7999999999997</v>
      </c>
      <c r="J48" s="84">
        <f t="shared" si="9"/>
        <v>-4.9982174688057136E-2</v>
      </c>
      <c r="K48" s="85">
        <f t="shared" si="10"/>
        <v>-4.9982174688057136E-2</v>
      </c>
      <c r="L48" s="2"/>
      <c r="N48" s="12">
        <f t="shared" si="4"/>
        <v>5</v>
      </c>
      <c r="O48" s="12">
        <f t="shared" si="5"/>
        <v>4</v>
      </c>
      <c r="P48" s="12">
        <f t="shared" si="6"/>
        <v>1403</v>
      </c>
      <c r="Q48" s="12">
        <f t="shared" si="7"/>
        <v>3532</v>
      </c>
    </row>
    <row r="49" spans="1:17" x14ac:dyDescent="0.25">
      <c r="A49" s="81">
        <v>2015</v>
      </c>
      <c r="B49" s="21">
        <f>IF($B$2="Trawl",Indices!B19,Indices!C19)</f>
        <v>172237</v>
      </c>
      <c r="C49" s="22">
        <f t="shared" si="0"/>
        <v>1.1446571671437948</v>
      </c>
      <c r="D49" s="21">
        <f>IF($C$2="Trawl",Indices!B19,Indices!C19)</f>
        <v>8130</v>
      </c>
      <c r="E49" s="22">
        <f t="shared" si="2"/>
        <v>0.77846932494357424</v>
      </c>
      <c r="F49" s="65"/>
      <c r="G49" s="135">
        <f t="shared" si="3"/>
        <v>2664.7999999999997</v>
      </c>
      <c r="H49" s="84">
        <f t="shared" si="8"/>
        <v>0</v>
      </c>
      <c r="I49" s="82">
        <f t="shared" si="1"/>
        <v>2664.7999999999997</v>
      </c>
      <c r="J49" s="84">
        <f t="shared" si="9"/>
        <v>0</v>
      </c>
      <c r="K49" s="85">
        <f t="shared" si="10"/>
        <v>0</v>
      </c>
      <c r="L49" s="2"/>
      <c r="N49" s="12">
        <f t="shared" si="4"/>
        <v>5</v>
      </c>
      <c r="O49" s="12">
        <f t="shared" si="5"/>
        <v>4</v>
      </c>
      <c r="P49" s="12">
        <f t="shared" si="6"/>
        <v>1403</v>
      </c>
      <c r="Q49" s="12">
        <f t="shared" si="7"/>
        <v>3532</v>
      </c>
    </row>
    <row r="50" spans="1:17" x14ac:dyDescent="0.25">
      <c r="A50" s="81">
        <v>2016</v>
      </c>
      <c r="B50" s="21">
        <f>IF($B$2="Trawl",Indices!B20,Indices!C20)</f>
        <v>153704</v>
      </c>
      <c r="C50" s="22">
        <f t="shared" si="0"/>
        <v>1.0214900701862542</v>
      </c>
      <c r="D50" s="21">
        <f>IF($C$2="Trawl",Indices!B20,Indices!C20)</f>
        <v>7826</v>
      </c>
      <c r="E50" s="22">
        <f t="shared" si="2"/>
        <v>0.74936050885712324</v>
      </c>
      <c r="F50" s="65"/>
      <c r="G50" s="135">
        <f t="shared" si="3"/>
        <v>2384.3999999999992</v>
      </c>
      <c r="H50" s="84">
        <f t="shared" si="8"/>
        <v>-0.10522365655959193</v>
      </c>
      <c r="I50" s="82">
        <f t="shared" si="1"/>
        <v>2384.3999999999992</v>
      </c>
      <c r="J50" s="84">
        <f t="shared" si="9"/>
        <v>-0.10522365655959193</v>
      </c>
      <c r="K50" s="85">
        <f t="shared" si="10"/>
        <v>-0.10522365655959193</v>
      </c>
      <c r="L50" s="2"/>
      <c r="N50" s="12">
        <f t="shared" si="4"/>
        <v>6</v>
      </c>
      <c r="O50" s="12">
        <f t="shared" si="5"/>
        <v>3</v>
      </c>
      <c r="P50" s="12">
        <f t="shared" si="6"/>
        <v>1403</v>
      </c>
      <c r="Q50" s="12">
        <f t="shared" si="7"/>
        <v>3532</v>
      </c>
    </row>
    <row r="51" spans="1:17" x14ac:dyDescent="0.25">
      <c r="A51" s="81">
        <v>2017</v>
      </c>
      <c r="B51" s="21">
        <f>IF($B$2="Trawl",Indices!B21,Indices!C21)</f>
        <v>126684</v>
      </c>
      <c r="C51" s="22">
        <f t="shared" si="0"/>
        <v>0.84191984627254601</v>
      </c>
      <c r="D51" s="21">
        <f>IF($C$2="Trawl",Indices!B21,Indices!C21)</f>
        <v>7250</v>
      </c>
      <c r="E51" s="22">
        <f t="shared" si="2"/>
        <v>0.69420696258805825</v>
      </c>
      <c r="F51" s="65"/>
      <c r="G51" s="135">
        <f t="shared" si="3"/>
        <v>2103.9999999999995</v>
      </c>
      <c r="H51" s="84">
        <f t="shared" si="8"/>
        <v>-0.11759771850360666</v>
      </c>
      <c r="I51" s="82">
        <f t="shared" si="1"/>
        <v>2103.9999999999995</v>
      </c>
      <c r="J51" s="84">
        <f t="shared" si="9"/>
        <v>-0.11759771850360666</v>
      </c>
      <c r="K51" s="85">
        <f t="shared" si="10"/>
        <v>-0.11759771850360666</v>
      </c>
      <c r="L51" s="2"/>
      <c r="N51" s="12">
        <f t="shared" si="4"/>
        <v>8</v>
      </c>
      <c r="O51" s="12">
        <f t="shared" si="5"/>
        <v>3</v>
      </c>
      <c r="P51" s="12">
        <f t="shared" si="6"/>
        <v>1403</v>
      </c>
      <c r="Q51" s="12">
        <f t="shared" si="7"/>
        <v>3532</v>
      </c>
    </row>
    <row r="52" spans="1:17" x14ac:dyDescent="0.25">
      <c r="A52" s="81">
        <v>2018</v>
      </c>
      <c r="B52" s="21">
        <f>IF($B$2="Trawl",Indices!B22,Indices!C22)</f>
        <v>125702</v>
      </c>
      <c r="C52" s="22">
        <f t="shared" si="0"/>
        <v>0.83539364494452006</v>
      </c>
      <c r="D52" s="21">
        <f>IF($C$2="Trawl",Indices!B22,Indices!C22)</f>
        <v>7141</v>
      </c>
      <c r="E52" s="22">
        <f t="shared" si="2"/>
        <v>0.68376991997811365</v>
      </c>
      <c r="F52" s="65"/>
      <c r="G52" s="135">
        <f t="shared" si="3"/>
        <v>2103.9999999999995</v>
      </c>
      <c r="H52" s="84">
        <f t="shared" si="8"/>
        <v>0</v>
      </c>
      <c r="I52" s="82">
        <f>IF(H52&gt;0,IF(ABS(H52)&gt;$H$8,G51*(1+SIGN(H52)*$H$8),G52),IF(ABS(H52)&gt;$H$9,G51*(1+SIGN(H52)*$H$9),G52))</f>
        <v>2103.9999999999995</v>
      </c>
      <c r="J52" s="84">
        <f t="shared" ref="J52" si="11">(G52-I51)/I51</f>
        <v>0</v>
      </c>
      <c r="K52" s="85">
        <f t="shared" ref="K52" si="12">(I52-I51)/I51</f>
        <v>0</v>
      </c>
      <c r="N52" s="12">
        <f t="shared" ref="N52" si="13">MATCH(MIN($B$58,MAX($B$68,ROUND(C52,1))),$B$58:$B$68,0)</f>
        <v>8</v>
      </c>
      <c r="O52" s="12">
        <f t="shared" ref="O52" si="14">MATCH(MIN($M$57,MAX($C$57,ROUND(E52,1))),$C$57:$M$57,0)</f>
        <v>3</v>
      </c>
      <c r="P52" s="12">
        <f t="shared" si="6"/>
        <v>1403</v>
      </c>
      <c r="Q52" s="12">
        <f t="shared" si="7"/>
        <v>3532</v>
      </c>
    </row>
    <row r="53" spans="1:17" x14ac:dyDescent="0.25">
      <c r="A53" s="81"/>
      <c r="B53" s="21"/>
      <c r="C53" s="21"/>
      <c r="D53" s="21"/>
      <c r="E53" s="21"/>
      <c r="F53" s="65"/>
      <c r="G53" s="21"/>
      <c r="H53" s="21"/>
      <c r="I53" s="21"/>
      <c r="J53" s="84"/>
      <c r="K53" s="85"/>
      <c r="L53" s="2"/>
    </row>
    <row r="54" spans="1:17" ht="15.75" thickBot="1" x14ac:dyDescent="0.3">
      <c r="A54" s="86" t="s">
        <v>13</v>
      </c>
      <c r="B54" s="87">
        <v>100000</v>
      </c>
      <c r="C54" s="87">
        <f>B54/$D$12</f>
        <v>0.66458261996190993</v>
      </c>
      <c r="D54" s="87">
        <v>9000</v>
      </c>
      <c r="E54" s="87">
        <f>D54/$E$12</f>
        <v>0.86177416045414124</v>
      </c>
      <c r="F54" s="87"/>
      <c r="G54" s="136">
        <f t="shared" si="3"/>
        <v>2244.1999999999994</v>
      </c>
      <c r="H54" s="89">
        <f>(G54-G52)/G52</f>
        <v>6.6634980988593079E-2</v>
      </c>
      <c r="I54" s="88">
        <f>IF(H54&gt;0,IF(ABS(H54)&gt;$H$8,G52*(1+SIGN(H54)*$H$8),G54),IF(ABS(H54)&gt;$H$9,G52*(1+SIGN(H54)*$H$9),G54))</f>
        <v>2244.1999999999994</v>
      </c>
      <c r="J54" s="89">
        <f>(G54-I52)/I52</f>
        <v>6.6634980988593079E-2</v>
      </c>
      <c r="K54" s="90">
        <f>(I54-I52)/I52</f>
        <v>6.6634980988593079E-2</v>
      </c>
      <c r="L54" s="2"/>
      <c r="N54" s="12">
        <f>MATCH(MIN($B$58,MAX($B$68,ROUND(C54,1))),$B$58:$B$68,0)</f>
        <v>9</v>
      </c>
      <c r="O54" s="12">
        <f>MATCH(MIN($M$57,MAX($C$57,ROUND(E54,1))),$C$57:$M$57,0)</f>
        <v>5</v>
      </c>
    </row>
    <row r="55" spans="1:17" x14ac:dyDescent="0.25">
      <c r="C55" s="4"/>
      <c r="D55" s="7"/>
      <c r="E55" s="7"/>
    </row>
    <row r="56" spans="1:17" ht="21" x14ac:dyDescent="0.25">
      <c r="A56"/>
      <c r="B56" s="3"/>
      <c r="C56" s="184" t="s">
        <v>90</v>
      </c>
      <c r="D56" s="184"/>
      <c r="E56" s="184"/>
      <c r="F56" s="184"/>
      <c r="G56" s="184"/>
      <c r="H56" s="184"/>
      <c r="I56" s="184"/>
      <c r="J56" s="184"/>
      <c r="K56" s="184"/>
      <c r="L56" s="184"/>
      <c r="M56" s="184"/>
    </row>
    <row r="57" spans="1:17" x14ac:dyDescent="0.25">
      <c r="A57" s="185" t="s">
        <v>89</v>
      </c>
      <c r="B57" s="3"/>
      <c r="C57" s="2">
        <v>0.5</v>
      </c>
      <c r="D57" s="2">
        <v>0.6</v>
      </c>
      <c r="E57" s="2">
        <v>0.7</v>
      </c>
      <c r="F57" s="2">
        <v>0.8</v>
      </c>
      <c r="G57" s="2">
        <v>0.9</v>
      </c>
      <c r="H57" s="2">
        <v>1</v>
      </c>
      <c r="I57" s="2">
        <v>1.1000000000000001</v>
      </c>
      <c r="J57" s="2">
        <v>1.2</v>
      </c>
      <c r="K57" s="2">
        <v>1.3</v>
      </c>
      <c r="L57" s="2">
        <v>1.4</v>
      </c>
      <c r="M57" s="2">
        <v>1.5</v>
      </c>
      <c r="O57" s="12" t="s">
        <v>93</v>
      </c>
      <c r="P57" s="12" t="s">
        <v>94</v>
      </c>
    </row>
    <row r="58" spans="1:17" x14ac:dyDescent="0.25">
      <c r="A58" s="185"/>
      <c r="B58" s="3">
        <v>1.5</v>
      </c>
      <c r="C58" s="16">
        <f>$F$3</f>
        <v>2805</v>
      </c>
      <c r="D58" s="16">
        <f>C58+$O$58*(D$57-C$57)</f>
        <v>2877.7</v>
      </c>
      <c r="E58" s="16">
        <f t="shared" ref="E58:L66" si="15">D58+$O$58*(E$57-D$57)</f>
        <v>2950.3999999999996</v>
      </c>
      <c r="F58" s="16">
        <f t="shared" si="15"/>
        <v>3023.1</v>
      </c>
      <c r="G58" s="16">
        <f t="shared" si="15"/>
        <v>3095.7999999999997</v>
      </c>
      <c r="H58" s="16">
        <f t="shared" si="15"/>
        <v>3168.4999999999995</v>
      </c>
      <c r="I58" s="16">
        <f t="shared" si="15"/>
        <v>3241.2</v>
      </c>
      <c r="J58" s="16">
        <f t="shared" si="15"/>
        <v>3313.8999999999996</v>
      </c>
      <c r="K58" s="16">
        <f t="shared" si="15"/>
        <v>3386.6</v>
      </c>
      <c r="L58" s="16">
        <f t="shared" si="15"/>
        <v>3459.2999999999997</v>
      </c>
      <c r="M58" s="16">
        <f>G3</f>
        <v>3532</v>
      </c>
      <c r="O58" s="12">
        <f>(M58-C58)/(M57-C57)</f>
        <v>727</v>
      </c>
      <c r="P58" s="12">
        <f>(M68-C68)/(M57-C57)</f>
        <v>1402</v>
      </c>
    </row>
    <row r="59" spans="1:17" x14ac:dyDescent="0.25">
      <c r="A59" s="185"/>
      <c r="B59" s="3">
        <v>1.4</v>
      </c>
      <c r="C59" s="16">
        <f>C58+$P$58*(B59-B58)</f>
        <v>2664.7999999999997</v>
      </c>
      <c r="D59" s="16">
        <f>$F$3</f>
        <v>2805</v>
      </c>
      <c r="E59" s="16">
        <f t="shared" si="15"/>
        <v>2877.7</v>
      </c>
      <c r="F59" s="16">
        <f t="shared" si="15"/>
        <v>2950.4</v>
      </c>
      <c r="G59" s="16">
        <f t="shared" si="15"/>
        <v>3023.1</v>
      </c>
      <c r="H59" s="16">
        <f t="shared" si="15"/>
        <v>3095.7999999999997</v>
      </c>
      <c r="I59" s="16">
        <f t="shared" si="15"/>
        <v>3168.5</v>
      </c>
      <c r="J59" s="16">
        <f t="shared" si="15"/>
        <v>3241.2</v>
      </c>
      <c r="K59" s="16">
        <f t="shared" si="15"/>
        <v>3313.9</v>
      </c>
      <c r="L59" s="16">
        <f t="shared" si="15"/>
        <v>3386.6</v>
      </c>
      <c r="M59" s="16">
        <f>M58+$O$58*(B59-B58)</f>
        <v>3459.2999999999997</v>
      </c>
    </row>
    <row r="60" spans="1:17" x14ac:dyDescent="0.25">
      <c r="A60" s="185"/>
      <c r="B60" s="3">
        <v>1.3</v>
      </c>
      <c r="C60" s="16">
        <f t="shared" ref="C60:C67" si="16">C59+$P$58*(B60-B59)</f>
        <v>2524.6</v>
      </c>
      <c r="D60" s="16">
        <f t="shared" ref="D60:K68" si="17">C60+$P$58*(D$57-C$57)</f>
        <v>2664.7999999999997</v>
      </c>
      <c r="E60" s="16">
        <f>$F$3</f>
        <v>2805</v>
      </c>
      <c r="F60" s="16">
        <f t="shared" si="15"/>
        <v>2877.7000000000003</v>
      </c>
      <c r="G60" s="16">
        <f t="shared" si="15"/>
        <v>2950.4</v>
      </c>
      <c r="H60" s="16">
        <f t="shared" si="15"/>
        <v>3023.1</v>
      </c>
      <c r="I60" s="16">
        <f t="shared" si="15"/>
        <v>3095.8</v>
      </c>
      <c r="J60" s="16">
        <f t="shared" si="15"/>
        <v>3168.5</v>
      </c>
      <c r="K60" s="16">
        <f t="shared" si="15"/>
        <v>3241.2000000000003</v>
      </c>
      <c r="L60" s="16">
        <f t="shared" si="15"/>
        <v>3313.9</v>
      </c>
      <c r="M60" s="16">
        <f t="shared" ref="M60:M67" si="18">M59+$O$58*(B60-B59)</f>
        <v>3386.6</v>
      </c>
    </row>
    <row r="61" spans="1:17" x14ac:dyDescent="0.25">
      <c r="A61" s="185"/>
      <c r="B61" s="3">
        <v>1.2</v>
      </c>
      <c r="C61" s="16">
        <f t="shared" si="16"/>
        <v>2384.3999999999996</v>
      </c>
      <c r="D61" s="16">
        <f t="shared" si="17"/>
        <v>2524.5999999999995</v>
      </c>
      <c r="E61" s="16">
        <f t="shared" si="17"/>
        <v>2664.7999999999993</v>
      </c>
      <c r="F61" s="16">
        <f>$F$3</f>
        <v>2805</v>
      </c>
      <c r="G61" s="16">
        <f t="shared" si="15"/>
        <v>2877.7</v>
      </c>
      <c r="H61" s="16">
        <f t="shared" si="15"/>
        <v>2950.3999999999996</v>
      </c>
      <c r="I61" s="16">
        <f t="shared" si="15"/>
        <v>3023.1</v>
      </c>
      <c r="J61" s="16">
        <f t="shared" si="15"/>
        <v>3095.7999999999997</v>
      </c>
      <c r="K61" s="16">
        <f t="shared" si="15"/>
        <v>3168.5</v>
      </c>
      <c r="L61" s="16">
        <f t="shared" si="15"/>
        <v>3241.2</v>
      </c>
      <c r="M61" s="16">
        <f t="shared" si="18"/>
        <v>3313.8999999999996</v>
      </c>
    </row>
    <row r="62" spans="1:17" x14ac:dyDescent="0.25">
      <c r="A62" s="185"/>
      <c r="B62" s="3">
        <v>1.1000000000000001</v>
      </c>
      <c r="C62" s="16">
        <f t="shared" si="16"/>
        <v>2244.1999999999998</v>
      </c>
      <c r="D62" s="16">
        <f t="shared" si="17"/>
        <v>2384.3999999999996</v>
      </c>
      <c r="E62" s="16">
        <f t="shared" si="17"/>
        <v>2524.5999999999995</v>
      </c>
      <c r="F62" s="16">
        <f t="shared" si="17"/>
        <v>2664.7999999999997</v>
      </c>
      <c r="G62" s="16">
        <f>$F$3</f>
        <v>2805</v>
      </c>
      <c r="H62" s="16">
        <f t="shared" si="15"/>
        <v>2877.7</v>
      </c>
      <c r="I62" s="16">
        <f t="shared" si="15"/>
        <v>2950.4</v>
      </c>
      <c r="J62" s="16">
        <f t="shared" si="15"/>
        <v>3023.1</v>
      </c>
      <c r="K62" s="16">
        <f t="shared" si="15"/>
        <v>3095.8</v>
      </c>
      <c r="L62" s="16">
        <f t="shared" si="15"/>
        <v>3168.5</v>
      </c>
      <c r="M62" s="16">
        <f t="shared" si="18"/>
        <v>3241.2</v>
      </c>
    </row>
    <row r="63" spans="1:17" x14ac:dyDescent="0.25">
      <c r="A63" s="185"/>
      <c r="B63" s="3">
        <v>1</v>
      </c>
      <c r="C63" s="16">
        <f t="shared" si="16"/>
        <v>2103.9999999999995</v>
      </c>
      <c r="D63" s="16">
        <f t="shared" si="17"/>
        <v>2244.1999999999994</v>
      </c>
      <c r="E63" s="16">
        <f t="shared" si="17"/>
        <v>2384.3999999999992</v>
      </c>
      <c r="F63" s="16">
        <f t="shared" si="17"/>
        <v>2524.5999999999995</v>
      </c>
      <c r="G63" s="16">
        <f t="shared" si="17"/>
        <v>2664.7999999999993</v>
      </c>
      <c r="H63" s="16">
        <f>F3</f>
        <v>2805</v>
      </c>
      <c r="I63" s="16">
        <f t="shared" si="15"/>
        <v>2877.7000000000003</v>
      </c>
      <c r="J63" s="16">
        <f t="shared" si="15"/>
        <v>2950.4</v>
      </c>
      <c r="K63" s="16">
        <f t="shared" si="15"/>
        <v>3023.1000000000004</v>
      </c>
      <c r="L63" s="16">
        <f t="shared" si="15"/>
        <v>3095.8</v>
      </c>
      <c r="M63" s="16">
        <f t="shared" si="18"/>
        <v>3168.4999999999995</v>
      </c>
    </row>
    <row r="64" spans="1:17" x14ac:dyDescent="0.25">
      <c r="A64" s="185"/>
      <c r="B64" s="3">
        <v>0.9</v>
      </c>
      <c r="C64" s="16">
        <f t="shared" si="16"/>
        <v>1963.7999999999995</v>
      </c>
      <c r="D64" s="16">
        <f t="shared" si="17"/>
        <v>2103.9999999999995</v>
      </c>
      <c r="E64" s="16">
        <f t="shared" si="17"/>
        <v>2244.1999999999994</v>
      </c>
      <c r="F64" s="16">
        <f t="shared" si="17"/>
        <v>2384.3999999999996</v>
      </c>
      <c r="G64" s="16">
        <f t="shared" si="17"/>
        <v>2524.5999999999995</v>
      </c>
      <c r="H64" s="16">
        <f t="shared" si="17"/>
        <v>2664.7999999999993</v>
      </c>
      <c r="I64" s="16">
        <f>$F$3</f>
        <v>2805</v>
      </c>
      <c r="J64" s="16">
        <f t="shared" si="15"/>
        <v>2877.7</v>
      </c>
      <c r="K64" s="16">
        <f t="shared" si="15"/>
        <v>2950.4</v>
      </c>
      <c r="L64" s="16">
        <f t="shared" si="15"/>
        <v>3023.1</v>
      </c>
      <c r="M64" s="16">
        <f t="shared" si="18"/>
        <v>3095.7999999999997</v>
      </c>
    </row>
    <row r="65" spans="1:17" x14ac:dyDescent="0.25">
      <c r="A65" s="185"/>
      <c r="B65" s="3">
        <v>0.8</v>
      </c>
      <c r="C65" s="16">
        <f t="shared" si="16"/>
        <v>1823.5999999999995</v>
      </c>
      <c r="D65" s="16">
        <f t="shared" si="17"/>
        <v>1963.7999999999995</v>
      </c>
      <c r="E65" s="16">
        <f t="shared" si="17"/>
        <v>2103.9999999999995</v>
      </c>
      <c r="F65" s="16">
        <f t="shared" si="17"/>
        <v>2244.1999999999998</v>
      </c>
      <c r="G65" s="16">
        <f t="shared" si="17"/>
        <v>2384.3999999999996</v>
      </c>
      <c r="H65" s="16">
        <f t="shared" si="17"/>
        <v>2524.5999999999995</v>
      </c>
      <c r="I65" s="16">
        <f t="shared" si="17"/>
        <v>2664.7999999999997</v>
      </c>
      <c r="J65" s="16">
        <f>$F$3</f>
        <v>2805</v>
      </c>
      <c r="K65" s="16">
        <f t="shared" si="15"/>
        <v>2877.7000000000003</v>
      </c>
      <c r="L65" s="16">
        <f t="shared" si="15"/>
        <v>2950.4</v>
      </c>
      <c r="M65" s="16">
        <f t="shared" si="18"/>
        <v>3023.1</v>
      </c>
    </row>
    <row r="66" spans="1:17" x14ac:dyDescent="0.25">
      <c r="A66" s="185"/>
      <c r="B66" s="3">
        <v>0.7</v>
      </c>
      <c r="C66" s="16">
        <f t="shared" si="16"/>
        <v>1683.3999999999994</v>
      </c>
      <c r="D66" s="16">
        <f t="shared" si="17"/>
        <v>1823.5999999999995</v>
      </c>
      <c r="E66" s="16">
        <f t="shared" si="17"/>
        <v>1963.7999999999995</v>
      </c>
      <c r="F66" s="16">
        <f t="shared" si="17"/>
        <v>2103.9999999999995</v>
      </c>
      <c r="G66" s="16">
        <f t="shared" si="17"/>
        <v>2244.1999999999994</v>
      </c>
      <c r="H66" s="16">
        <f t="shared" si="17"/>
        <v>2384.3999999999992</v>
      </c>
      <c r="I66" s="16">
        <f t="shared" si="17"/>
        <v>2524.5999999999995</v>
      </c>
      <c r="J66" s="16">
        <f t="shared" si="17"/>
        <v>2664.7999999999993</v>
      </c>
      <c r="K66" s="16">
        <f>$F$3</f>
        <v>2805</v>
      </c>
      <c r="L66" s="16">
        <f t="shared" si="15"/>
        <v>2877.7</v>
      </c>
      <c r="M66" s="16">
        <f t="shared" si="18"/>
        <v>2950.3999999999996</v>
      </c>
    </row>
    <row r="67" spans="1:17" x14ac:dyDescent="0.25">
      <c r="A67" s="185"/>
      <c r="B67" s="3">
        <v>0.6</v>
      </c>
      <c r="C67" s="16">
        <f t="shared" si="16"/>
        <v>1543.1999999999994</v>
      </c>
      <c r="D67" s="16">
        <f t="shared" si="17"/>
        <v>1683.3999999999994</v>
      </c>
      <c r="E67" s="16">
        <f t="shared" si="17"/>
        <v>1823.5999999999995</v>
      </c>
      <c r="F67" s="16">
        <f t="shared" si="17"/>
        <v>1963.7999999999995</v>
      </c>
      <c r="G67" s="16">
        <f t="shared" si="17"/>
        <v>2103.9999999999995</v>
      </c>
      <c r="H67" s="16">
        <f t="shared" si="17"/>
        <v>2244.1999999999994</v>
      </c>
      <c r="I67" s="16">
        <f t="shared" si="17"/>
        <v>2384.3999999999996</v>
      </c>
      <c r="J67" s="16">
        <f t="shared" si="17"/>
        <v>2524.5999999999995</v>
      </c>
      <c r="K67" s="16">
        <f t="shared" si="17"/>
        <v>2664.7999999999997</v>
      </c>
      <c r="L67" s="16">
        <f>$F$3</f>
        <v>2805</v>
      </c>
      <c r="M67" s="16">
        <f t="shared" si="18"/>
        <v>2877.7</v>
      </c>
    </row>
    <row r="68" spans="1:17" x14ac:dyDescent="0.25">
      <c r="A68" s="185"/>
      <c r="B68" s="3">
        <v>0.5</v>
      </c>
      <c r="C68" s="16">
        <f>H3</f>
        <v>1403</v>
      </c>
      <c r="D68" s="16">
        <f t="shared" si="17"/>
        <v>1543.2</v>
      </c>
      <c r="E68" s="16">
        <f t="shared" si="17"/>
        <v>1683.4</v>
      </c>
      <c r="F68" s="16">
        <f t="shared" si="17"/>
        <v>1823.6000000000001</v>
      </c>
      <c r="G68" s="16">
        <f t="shared" si="17"/>
        <v>1963.8000000000002</v>
      </c>
      <c r="H68" s="16">
        <f t="shared" si="17"/>
        <v>2104</v>
      </c>
      <c r="I68" s="16">
        <f t="shared" si="17"/>
        <v>2244.2000000000003</v>
      </c>
      <c r="J68" s="16">
        <f t="shared" si="17"/>
        <v>2384.4</v>
      </c>
      <c r="K68" s="16">
        <f t="shared" si="17"/>
        <v>2524.6000000000004</v>
      </c>
      <c r="L68" s="16">
        <f>K68+$P$58*(L$57-K$57)</f>
        <v>2664.8</v>
      </c>
      <c r="M68" s="16">
        <f>$F$3</f>
        <v>2805</v>
      </c>
    </row>
    <row r="69" spans="1:17" ht="15.75" thickBot="1" x14ac:dyDescent="0.3"/>
    <row r="70" spans="1:17" ht="14.65" customHeight="1" x14ac:dyDescent="0.25">
      <c r="A70" s="137" t="s">
        <v>92</v>
      </c>
      <c r="B70" s="133"/>
      <c r="C70" s="133"/>
      <c r="D70" s="133"/>
      <c r="E70" s="133"/>
      <c r="F70" s="133"/>
      <c r="G70" s="133"/>
      <c r="H70" s="133"/>
      <c r="I70" s="133"/>
      <c r="J70" s="133"/>
      <c r="K70" s="134"/>
    </row>
    <row r="71" spans="1:17" ht="45" x14ac:dyDescent="0.25">
      <c r="A71" s="77" t="s">
        <v>0</v>
      </c>
      <c r="B71" s="78" t="s">
        <v>38</v>
      </c>
      <c r="C71" s="78" t="s">
        <v>7</v>
      </c>
      <c r="D71" s="78" t="s">
        <v>39</v>
      </c>
      <c r="E71" s="78" t="s">
        <v>8</v>
      </c>
      <c r="F71" s="65"/>
      <c r="G71" s="78" t="s">
        <v>27</v>
      </c>
      <c r="H71" s="79" t="s">
        <v>26</v>
      </c>
      <c r="I71" s="78" t="s">
        <v>40</v>
      </c>
      <c r="J71" s="79" t="s">
        <v>28</v>
      </c>
      <c r="K71" s="80" t="s">
        <v>29</v>
      </c>
      <c r="L71" s="1"/>
      <c r="N71" s="12" t="s">
        <v>30</v>
      </c>
      <c r="O71" s="12" t="s">
        <v>31</v>
      </c>
      <c r="P71" s="12" t="s">
        <v>32</v>
      </c>
      <c r="Q71" s="12" t="s">
        <v>33</v>
      </c>
    </row>
    <row r="72" spans="1:17" x14ac:dyDescent="0.25">
      <c r="A72" s="81">
        <v>1998</v>
      </c>
      <c r="B72" s="21">
        <f>IF($B$3="Trawl",Indices!B2,Indices!C2)</f>
        <v>18502</v>
      </c>
      <c r="C72" s="22">
        <f>B72/D$13</f>
        <v>1.7716161685247245</v>
      </c>
      <c r="D72" s="21">
        <f>IF($C$3="Trawl",Indices!B2,Indices!C2)</f>
        <v>161256</v>
      </c>
      <c r="E72" s="22">
        <f>D72/E$13</f>
        <v>1.0716793496457775</v>
      </c>
      <c r="F72" s="65"/>
      <c r="G72" s="135">
        <f>INDEX($C$98:$M$108,N72,O72)</f>
        <v>820.39999999999986</v>
      </c>
      <c r="H72" s="65"/>
      <c r="I72" s="82">
        <f>G72</f>
        <v>820.39999999999986</v>
      </c>
      <c r="J72" s="65"/>
      <c r="K72" s="83"/>
      <c r="L72" s="2"/>
      <c r="N72" s="12">
        <f>MATCH(MIN($B$98,MAX($B$108,ROUND(C72,1))),$B$98:$B$108,0)</f>
        <v>1</v>
      </c>
      <c r="O72" s="12">
        <f>MATCH(MIN($M$97,MAX($C$97,ROUND(E72,1))),$C$97:$M$97,0)</f>
        <v>7</v>
      </c>
      <c r="P72" s="12">
        <f>$H$4</f>
        <v>355</v>
      </c>
      <c r="Q72" s="12">
        <f>$G$4</f>
        <v>894</v>
      </c>
    </row>
    <row r="73" spans="1:17" x14ac:dyDescent="0.25">
      <c r="A73" s="81">
        <v>1999</v>
      </c>
      <c r="B73" s="21">
        <f>IF($B$3="Trawl",Indices!B3,Indices!C3)</f>
        <v>16201</v>
      </c>
      <c r="C73" s="22">
        <f t="shared" ref="C73:C94" si="19">B73/D$13</f>
        <v>1.5512892415019492</v>
      </c>
      <c r="D73" s="21">
        <f>IF($C$3="Trawl",Indices!B3,Indices!C3)</f>
        <v>129116</v>
      </c>
      <c r="E73" s="22">
        <f t="shared" ref="E73:E94" si="20">D73/E$13</f>
        <v>0.8580824955900197</v>
      </c>
      <c r="F73" s="65"/>
      <c r="G73" s="135">
        <f t="shared" ref="G73:G94" si="21">INDEX($C$98:$M$108,N73,O73)</f>
        <v>783.59999999999991</v>
      </c>
      <c r="H73" s="84">
        <f>(G73-G72)/G72</f>
        <v>-4.485616772306187E-2</v>
      </c>
      <c r="I73" s="82">
        <f t="shared" ref="I73:I91" si="22">IF(H73&gt;0,IF(ABS(H73)&gt;$H$8,G72*(1+SIGN(H73)*$H$8),G73),IF(ABS(H73)&gt;$H$9,G72*(1+SIGN(H73)*$H$9),G73))</f>
        <v>783.59999999999991</v>
      </c>
      <c r="J73" s="84">
        <f>(G73-I72)/I72</f>
        <v>-4.485616772306187E-2</v>
      </c>
      <c r="K73" s="85">
        <f>(I73-I72)/I72</f>
        <v>-4.485616772306187E-2</v>
      </c>
      <c r="L73" s="2"/>
      <c r="N73" s="12">
        <f t="shared" ref="N73:N94" si="23">MATCH(MIN($B$98,MAX($B$108,ROUND(C73,1))),$B$98:$B$108,0)</f>
        <v>1</v>
      </c>
      <c r="O73" s="12">
        <f t="shared" ref="O73:O94" si="24">MATCH(MIN($M$97,MAX($C$97,ROUND(E73,1))),$C$97:$M$97,0)</f>
        <v>5</v>
      </c>
      <c r="P73" s="12">
        <f t="shared" ref="P73:P92" si="25">$H$4</f>
        <v>355</v>
      </c>
      <c r="Q73" s="12">
        <f t="shared" ref="Q73:Q92" si="26">$G$4</f>
        <v>894</v>
      </c>
    </row>
    <row r="74" spans="1:17" x14ac:dyDescent="0.25">
      <c r="A74" s="81">
        <v>2000</v>
      </c>
      <c r="B74" s="21">
        <f>IF($B$3="Trawl",Indices!B4,Indices!C4)</f>
        <v>16203</v>
      </c>
      <c r="C74" s="22">
        <f t="shared" si="19"/>
        <v>1.5514807468709388</v>
      </c>
      <c r="D74" s="21">
        <f>IF($C$3="Trawl",Indices!B4,Indices!C4)</f>
        <v>118677</v>
      </c>
      <c r="E74" s="22">
        <f t="shared" si="20"/>
        <v>0.78870671589219588</v>
      </c>
      <c r="F74" s="65"/>
      <c r="G74" s="135">
        <f t="shared" si="21"/>
        <v>765.19999999999993</v>
      </c>
      <c r="H74" s="84">
        <f t="shared" ref="H74:H92" si="27">(G74-G73)/G73</f>
        <v>-2.3481368044920851E-2</v>
      </c>
      <c r="I74" s="82">
        <f t="shared" si="22"/>
        <v>765.19999999999993</v>
      </c>
      <c r="J74" s="84">
        <f>(G74-I73)/I73</f>
        <v>-2.3481368044920851E-2</v>
      </c>
      <c r="K74" s="85">
        <f>(I74-I73)/I73</f>
        <v>-2.3481368044920851E-2</v>
      </c>
      <c r="L74" s="2"/>
      <c r="N74" s="12">
        <f t="shared" si="23"/>
        <v>1</v>
      </c>
      <c r="O74" s="12">
        <f t="shared" si="24"/>
        <v>4</v>
      </c>
      <c r="P74" s="12">
        <f t="shared" si="25"/>
        <v>355</v>
      </c>
      <c r="Q74" s="12">
        <f t="shared" si="26"/>
        <v>894</v>
      </c>
    </row>
    <row r="75" spans="1:17" x14ac:dyDescent="0.25">
      <c r="A75" s="81">
        <v>2001</v>
      </c>
      <c r="B75" s="21">
        <f>IF($B$3="Trawl",Indices!B5,Indices!C5)</f>
        <v>13780</v>
      </c>
      <c r="C75" s="22">
        <f t="shared" si="19"/>
        <v>1.3194719923397851</v>
      </c>
      <c r="D75" s="21">
        <f>IF($C$3="Trawl",Indices!B5,Indices!C5)</f>
        <v>141219</v>
      </c>
      <c r="E75" s="22">
        <f t="shared" si="20"/>
        <v>0.9385169300840096</v>
      </c>
      <c r="F75" s="65"/>
      <c r="G75" s="135">
        <f t="shared" si="21"/>
        <v>746.8</v>
      </c>
      <c r="H75" s="84">
        <f t="shared" si="27"/>
        <v>-2.4046001045478278E-2</v>
      </c>
      <c r="I75" s="82">
        <f t="shared" si="22"/>
        <v>746.8</v>
      </c>
      <c r="J75" s="84">
        <f t="shared" ref="J75:J92" si="28">(G75-I74)/I74</f>
        <v>-2.4046001045478278E-2</v>
      </c>
      <c r="K75" s="85">
        <f t="shared" ref="K75:K92" si="29">(I75-I74)/I74</f>
        <v>-2.4046001045478278E-2</v>
      </c>
      <c r="L75" s="2"/>
      <c r="N75" s="12">
        <f t="shared" si="23"/>
        <v>3</v>
      </c>
      <c r="O75" s="12">
        <f t="shared" si="24"/>
        <v>5</v>
      </c>
      <c r="P75" s="12">
        <f t="shared" si="25"/>
        <v>355</v>
      </c>
      <c r="Q75" s="12">
        <f t="shared" si="26"/>
        <v>894</v>
      </c>
    </row>
    <row r="76" spans="1:17" x14ac:dyDescent="0.25">
      <c r="A76" s="81">
        <v>2002</v>
      </c>
      <c r="B76" s="21">
        <f>IF($B$3="Trawl",Indices!B6,Indices!C6)</f>
        <v>12104</v>
      </c>
      <c r="C76" s="22">
        <f t="shared" si="19"/>
        <v>1.1589904931263251</v>
      </c>
      <c r="D76" s="21">
        <f>IF($C$3="Trawl",Indices!B6,Indices!C6)</f>
        <v>101706</v>
      </c>
      <c r="E76" s="22">
        <f t="shared" si="20"/>
        <v>0.67592039945846016</v>
      </c>
      <c r="F76" s="65"/>
      <c r="G76" s="135">
        <f t="shared" si="21"/>
        <v>674.5</v>
      </c>
      <c r="H76" s="84">
        <f t="shared" si="27"/>
        <v>-9.6813069094804444E-2</v>
      </c>
      <c r="I76" s="82">
        <f t="shared" si="22"/>
        <v>674.5</v>
      </c>
      <c r="J76" s="84">
        <f t="shared" si="28"/>
        <v>-9.6813069094804444E-2</v>
      </c>
      <c r="K76" s="85">
        <f t="shared" si="29"/>
        <v>-9.6813069094804444E-2</v>
      </c>
      <c r="L76" s="2"/>
      <c r="N76" s="12">
        <f t="shared" si="23"/>
        <v>4</v>
      </c>
      <c r="O76" s="12">
        <f t="shared" si="24"/>
        <v>3</v>
      </c>
      <c r="P76" s="12">
        <f t="shared" si="25"/>
        <v>355</v>
      </c>
      <c r="Q76" s="12">
        <f t="shared" si="26"/>
        <v>894</v>
      </c>
    </row>
    <row r="77" spans="1:17" x14ac:dyDescent="0.25">
      <c r="A77" s="81">
        <v>2003</v>
      </c>
      <c r="B77" s="21">
        <f>IF($B$3="Trawl",Indices!B7,Indices!C7)</f>
        <v>10866</v>
      </c>
      <c r="C77" s="22">
        <f t="shared" si="19"/>
        <v>1.0404486697216331</v>
      </c>
      <c r="D77" s="21">
        <f>IF($C$3="Trawl",Indices!B7,Indices!C7)</f>
        <v>132151</v>
      </c>
      <c r="E77" s="22">
        <f t="shared" si="20"/>
        <v>0.87825257810586366</v>
      </c>
      <c r="F77" s="65"/>
      <c r="G77" s="135">
        <f t="shared" si="21"/>
        <v>674.5</v>
      </c>
      <c r="H77" s="84">
        <f t="shared" si="27"/>
        <v>0</v>
      </c>
      <c r="I77" s="82">
        <f t="shared" si="22"/>
        <v>674.5</v>
      </c>
      <c r="J77" s="84">
        <f t="shared" si="28"/>
        <v>0</v>
      </c>
      <c r="K77" s="85">
        <f t="shared" si="29"/>
        <v>0</v>
      </c>
      <c r="L77" s="2"/>
      <c r="N77" s="12">
        <f t="shared" si="23"/>
        <v>6</v>
      </c>
      <c r="O77" s="12">
        <f t="shared" si="24"/>
        <v>5</v>
      </c>
      <c r="P77" s="12">
        <f t="shared" si="25"/>
        <v>355</v>
      </c>
      <c r="Q77" s="12">
        <f t="shared" si="26"/>
        <v>894</v>
      </c>
    </row>
    <row r="78" spans="1:17" x14ac:dyDescent="0.25">
      <c r="A78" s="81">
        <v>2004</v>
      </c>
      <c r="B78" s="21">
        <f>IF($B$3="Trawl",Indices!B8,Indices!C8)</f>
        <v>9987</v>
      </c>
      <c r="C78" s="22">
        <f t="shared" si="19"/>
        <v>0.95628206005061211</v>
      </c>
      <c r="D78" s="21">
        <f>IF($C$3="Trawl",Indices!B8,Indices!C8)</f>
        <v>130075</v>
      </c>
      <c r="E78" s="22">
        <f t="shared" si="20"/>
        <v>0.86445584291545441</v>
      </c>
      <c r="F78" s="65"/>
      <c r="G78" s="135">
        <f t="shared" si="21"/>
        <v>674.5</v>
      </c>
      <c r="H78" s="84">
        <f t="shared" si="27"/>
        <v>0</v>
      </c>
      <c r="I78" s="82">
        <f t="shared" si="22"/>
        <v>674.5</v>
      </c>
      <c r="J78" s="84">
        <f t="shared" si="28"/>
        <v>0</v>
      </c>
      <c r="K78" s="85">
        <f t="shared" si="29"/>
        <v>0</v>
      </c>
      <c r="L78" s="2"/>
      <c r="N78" s="12">
        <f t="shared" si="23"/>
        <v>6</v>
      </c>
      <c r="O78" s="12">
        <f t="shared" si="24"/>
        <v>5</v>
      </c>
      <c r="P78" s="12">
        <f t="shared" si="25"/>
        <v>355</v>
      </c>
      <c r="Q78" s="12">
        <f t="shared" si="26"/>
        <v>894</v>
      </c>
    </row>
    <row r="79" spans="1:17" x14ac:dyDescent="0.25">
      <c r="A79" s="81">
        <v>2005</v>
      </c>
      <c r="B79" s="21">
        <f>IF($B$3="Trawl",Indices!B9,Indices!C9)</f>
        <v>9550</v>
      </c>
      <c r="C79" s="22">
        <f t="shared" si="19"/>
        <v>0.9144381369263388</v>
      </c>
      <c r="D79" s="21">
        <f>IF($C$3="Trawl",Indices!B9,Indices!C9)</f>
        <v>132518</v>
      </c>
      <c r="E79" s="22">
        <f t="shared" si="20"/>
        <v>0.88069159632112382</v>
      </c>
      <c r="F79" s="65"/>
      <c r="G79" s="135">
        <f t="shared" si="21"/>
        <v>639</v>
      </c>
      <c r="H79" s="84">
        <f t="shared" si="27"/>
        <v>-5.2631578947368418E-2</v>
      </c>
      <c r="I79" s="82">
        <f t="shared" si="22"/>
        <v>639</v>
      </c>
      <c r="J79" s="84">
        <f t="shared" si="28"/>
        <v>-5.2631578947368418E-2</v>
      </c>
      <c r="K79" s="85">
        <f t="shared" si="29"/>
        <v>-5.2631578947368418E-2</v>
      </c>
      <c r="L79" s="2"/>
      <c r="N79" s="12">
        <f t="shared" si="23"/>
        <v>7</v>
      </c>
      <c r="O79" s="12">
        <f t="shared" si="24"/>
        <v>5</v>
      </c>
      <c r="P79" s="12">
        <f t="shared" si="25"/>
        <v>355</v>
      </c>
      <c r="Q79" s="12">
        <f t="shared" si="26"/>
        <v>894</v>
      </c>
    </row>
    <row r="80" spans="1:17" x14ac:dyDescent="0.25">
      <c r="A80" s="81">
        <v>2006</v>
      </c>
      <c r="B80" s="21">
        <f>IF($B$3="Trawl",Indices!B10,Indices!C10)</f>
        <v>9802</v>
      </c>
      <c r="C80" s="22">
        <f t="shared" si="19"/>
        <v>0.93856781341905471</v>
      </c>
      <c r="D80" s="21">
        <f>IF($C$3="Trawl",Indices!B10,Indices!C10)</f>
        <v>155964</v>
      </c>
      <c r="E80" s="22">
        <f t="shared" si="20"/>
        <v>1.0365096373973932</v>
      </c>
      <c r="F80" s="65"/>
      <c r="G80" s="135">
        <f t="shared" si="21"/>
        <v>674.5</v>
      </c>
      <c r="H80" s="84">
        <f t="shared" si="27"/>
        <v>5.5555555555555552E-2</v>
      </c>
      <c r="I80" s="82">
        <f t="shared" si="22"/>
        <v>674.5</v>
      </c>
      <c r="J80" s="84">
        <f t="shared" si="28"/>
        <v>5.5555555555555552E-2</v>
      </c>
      <c r="K80" s="85">
        <f t="shared" si="29"/>
        <v>5.5555555555555552E-2</v>
      </c>
      <c r="L80" s="2"/>
      <c r="N80" s="12">
        <f t="shared" si="23"/>
        <v>7</v>
      </c>
      <c r="O80" s="12">
        <f t="shared" si="24"/>
        <v>6</v>
      </c>
      <c r="P80" s="12">
        <f t="shared" si="25"/>
        <v>355</v>
      </c>
      <c r="Q80" s="12">
        <f t="shared" si="26"/>
        <v>894</v>
      </c>
    </row>
    <row r="81" spans="1:17" x14ac:dyDescent="0.25">
      <c r="A81" s="81">
        <v>2007</v>
      </c>
      <c r="B81" s="21">
        <f>IF($B$3="Trawl",Indices!B11,Indices!C11)</f>
        <v>9673</v>
      </c>
      <c r="C81" s="22">
        <f t="shared" si="19"/>
        <v>0.92621571711921202</v>
      </c>
      <c r="D81" s="21">
        <f>IF($C$3="Trawl",Indices!B11,Indices!C11)</f>
        <v>143903</v>
      </c>
      <c r="E81" s="22">
        <f t="shared" si="20"/>
        <v>0.95635432760378725</v>
      </c>
      <c r="F81" s="65"/>
      <c r="G81" s="135">
        <f t="shared" si="21"/>
        <v>674.5</v>
      </c>
      <c r="H81" s="84">
        <f t="shared" si="27"/>
        <v>0</v>
      </c>
      <c r="I81" s="82">
        <f t="shared" si="22"/>
        <v>674.5</v>
      </c>
      <c r="J81" s="84">
        <f t="shared" si="28"/>
        <v>0</v>
      </c>
      <c r="K81" s="85">
        <f t="shared" si="29"/>
        <v>0</v>
      </c>
      <c r="L81" s="2"/>
      <c r="N81" s="12">
        <f t="shared" si="23"/>
        <v>7</v>
      </c>
      <c r="O81" s="12">
        <f t="shared" si="24"/>
        <v>6</v>
      </c>
      <c r="P81" s="12">
        <f t="shared" si="25"/>
        <v>355</v>
      </c>
      <c r="Q81" s="12">
        <f t="shared" si="26"/>
        <v>894</v>
      </c>
    </row>
    <row r="82" spans="1:17" x14ac:dyDescent="0.25">
      <c r="A82" s="81">
        <v>2008</v>
      </c>
      <c r="B82" s="21">
        <f>IF($B$3="Trawl",Indices!B12,Indices!C12)</f>
        <v>10264</v>
      </c>
      <c r="C82" s="22">
        <f t="shared" si="19"/>
        <v>0.98280555365570066</v>
      </c>
      <c r="D82" s="21">
        <f>IF($C$3="Trawl",Indices!B12,Indices!C12)</f>
        <v>140247</v>
      </c>
      <c r="E82" s="22">
        <f t="shared" si="20"/>
        <v>0.93205718701797979</v>
      </c>
      <c r="F82" s="65"/>
      <c r="G82" s="135">
        <f t="shared" si="21"/>
        <v>674.5</v>
      </c>
      <c r="H82" s="84">
        <f t="shared" si="27"/>
        <v>0</v>
      </c>
      <c r="I82" s="82">
        <f t="shared" si="22"/>
        <v>674.5</v>
      </c>
      <c r="J82" s="84">
        <f t="shared" si="28"/>
        <v>0</v>
      </c>
      <c r="K82" s="85">
        <f t="shared" si="29"/>
        <v>0</v>
      </c>
      <c r="L82" s="2"/>
      <c r="N82" s="12">
        <f t="shared" si="23"/>
        <v>6</v>
      </c>
      <c r="O82" s="12">
        <f t="shared" si="24"/>
        <v>5</v>
      </c>
      <c r="P82" s="12">
        <f t="shared" si="25"/>
        <v>355</v>
      </c>
      <c r="Q82" s="12">
        <f t="shared" si="26"/>
        <v>894</v>
      </c>
    </row>
    <row r="83" spans="1:17" x14ac:dyDescent="0.25">
      <c r="A83" s="81">
        <v>2009</v>
      </c>
      <c r="B83" s="21">
        <f>IF($B$3="Trawl",Indices!B13,Indices!C13)</f>
        <v>9834</v>
      </c>
      <c r="C83" s="22">
        <f t="shared" si="19"/>
        <v>0.94163189932289171</v>
      </c>
      <c r="D83" s="21">
        <f>IF($C$3="Trawl",Indices!B13,Indices!C13)</f>
        <v>168102</v>
      </c>
      <c r="E83" s="22">
        <f t="shared" si="20"/>
        <v>1.1171766758083699</v>
      </c>
      <c r="F83" s="65"/>
      <c r="G83" s="135">
        <f t="shared" si="21"/>
        <v>710</v>
      </c>
      <c r="H83" s="84">
        <f t="shared" si="27"/>
        <v>5.2631578947368418E-2</v>
      </c>
      <c r="I83" s="82">
        <f t="shared" si="22"/>
        <v>710</v>
      </c>
      <c r="J83" s="84">
        <f t="shared" si="28"/>
        <v>5.2631578947368418E-2</v>
      </c>
      <c r="K83" s="85">
        <f t="shared" si="29"/>
        <v>5.2631578947368418E-2</v>
      </c>
      <c r="L83" s="2"/>
      <c r="N83" s="12">
        <f t="shared" si="23"/>
        <v>7</v>
      </c>
      <c r="O83" s="12">
        <f t="shared" si="24"/>
        <v>7</v>
      </c>
      <c r="P83" s="12">
        <f t="shared" si="25"/>
        <v>355</v>
      </c>
      <c r="Q83" s="12">
        <f t="shared" si="26"/>
        <v>894</v>
      </c>
    </row>
    <row r="84" spans="1:17" x14ac:dyDescent="0.25">
      <c r="A84" s="81">
        <v>2010</v>
      </c>
      <c r="B84" s="21">
        <f>IF($B$3="Trawl",Indices!B14,Indices!C14)</f>
        <v>9146</v>
      </c>
      <c r="C84" s="22">
        <f t="shared" si="19"/>
        <v>0.87575405239039728</v>
      </c>
      <c r="D84" s="21">
        <f>IF($C$3="Trawl",Indices!B14,Indices!C14)</f>
        <v>195535</v>
      </c>
      <c r="E84" s="22">
        <f t="shared" si="20"/>
        <v>1.2994916259425207</v>
      </c>
      <c r="F84" s="65"/>
      <c r="G84" s="135">
        <f t="shared" si="21"/>
        <v>746.8</v>
      </c>
      <c r="H84" s="84">
        <f t="shared" si="27"/>
        <v>5.1830985915492893E-2</v>
      </c>
      <c r="I84" s="82">
        <f t="shared" si="22"/>
        <v>746.8</v>
      </c>
      <c r="J84" s="84">
        <f t="shared" si="28"/>
        <v>5.1830985915492893E-2</v>
      </c>
      <c r="K84" s="85">
        <f t="shared" si="29"/>
        <v>5.1830985915492893E-2</v>
      </c>
      <c r="L84" s="2"/>
      <c r="N84" s="12">
        <f t="shared" si="23"/>
        <v>7</v>
      </c>
      <c r="O84" s="12">
        <f t="shared" si="24"/>
        <v>9</v>
      </c>
      <c r="P84" s="12">
        <f t="shared" si="25"/>
        <v>355</v>
      </c>
      <c r="Q84" s="12">
        <f t="shared" si="26"/>
        <v>894</v>
      </c>
    </row>
    <row r="85" spans="1:17" x14ac:dyDescent="0.25">
      <c r="A85" s="81">
        <v>2011</v>
      </c>
      <c r="B85" s="21">
        <f>IF($B$3="Trawl",Indices!B15,Indices!C15)</f>
        <v>8669</v>
      </c>
      <c r="C85" s="22">
        <f t="shared" si="19"/>
        <v>0.83008002188632779</v>
      </c>
      <c r="D85" s="21">
        <f>IF($C$3="Trawl",Indices!B15,Indices!C15)</f>
        <v>186666</v>
      </c>
      <c r="E85" s="22">
        <f t="shared" si="20"/>
        <v>1.2405497933780989</v>
      </c>
      <c r="F85" s="65"/>
      <c r="G85" s="135">
        <f t="shared" si="21"/>
        <v>710</v>
      </c>
      <c r="H85" s="84">
        <f t="shared" si="27"/>
        <v>-4.9276914836636258E-2</v>
      </c>
      <c r="I85" s="82">
        <f t="shared" si="22"/>
        <v>710</v>
      </c>
      <c r="J85" s="84">
        <f t="shared" si="28"/>
        <v>-4.9276914836636258E-2</v>
      </c>
      <c r="K85" s="85">
        <f t="shared" si="29"/>
        <v>-4.9276914836636258E-2</v>
      </c>
      <c r="L85" s="2"/>
      <c r="N85" s="12">
        <f t="shared" si="23"/>
        <v>8</v>
      </c>
      <c r="O85" s="12">
        <f t="shared" si="24"/>
        <v>8</v>
      </c>
      <c r="P85" s="12">
        <f t="shared" si="25"/>
        <v>355</v>
      </c>
      <c r="Q85" s="12">
        <f t="shared" si="26"/>
        <v>894</v>
      </c>
    </row>
    <row r="86" spans="1:17" x14ac:dyDescent="0.25">
      <c r="A86" s="81">
        <v>2012</v>
      </c>
      <c r="B86" s="21">
        <f>IF($B$3="Trawl",Indices!B16,Indices!C16)</f>
        <v>8403</v>
      </c>
      <c r="C86" s="22">
        <f t="shared" si="19"/>
        <v>0.80460980781068325</v>
      </c>
      <c r="D86" s="21">
        <f>IF($C$3="Trawl",Indices!B16,Indices!C16)</f>
        <v>189000</v>
      </c>
      <c r="E86" s="22">
        <f t="shared" si="20"/>
        <v>1.2560611517280098</v>
      </c>
      <c r="F86" s="65"/>
      <c r="G86" s="135">
        <f t="shared" si="21"/>
        <v>728.4</v>
      </c>
      <c r="H86" s="84">
        <f t="shared" si="27"/>
        <v>2.5915492957746446E-2</v>
      </c>
      <c r="I86" s="82">
        <f t="shared" si="22"/>
        <v>728.4</v>
      </c>
      <c r="J86" s="84">
        <f t="shared" si="28"/>
        <v>2.5915492957746446E-2</v>
      </c>
      <c r="K86" s="85">
        <f t="shared" si="29"/>
        <v>2.5915492957746446E-2</v>
      </c>
      <c r="L86" s="2"/>
      <c r="N86" s="12">
        <f t="shared" si="23"/>
        <v>8</v>
      </c>
      <c r="O86" s="12">
        <f t="shared" si="24"/>
        <v>9</v>
      </c>
      <c r="P86" s="12">
        <f t="shared" si="25"/>
        <v>355</v>
      </c>
      <c r="Q86" s="12">
        <f t="shared" si="26"/>
        <v>894</v>
      </c>
    </row>
    <row r="87" spans="1:17" x14ac:dyDescent="0.25">
      <c r="A87" s="81">
        <v>2013</v>
      </c>
      <c r="B87" s="21">
        <f>IF($B$3="Trawl",Indices!B17,Indices!C17)</f>
        <v>7989</v>
      </c>
      <c r="C87" s="22">
        <f t="shared" si="19"/>
        <v>0.76496819642979275</v>
      </c>
      <c r="D87" s="21">
        <f>IF($C$3="Trawl",Indices!B17,Indices!C17)</f>
        <v>183989</v>
      </c>
      <c r="E87" s="22">
        <f t="shared" si="20"/>
        <v>1.2227589166417185</v>
      </c>
      <c r="F87" s="65"/>
      <c r="G87" s="135">
        <f t="shared" si="21"/>
        <v>710</v>
      </c>
      <c r="H87" s="84">
        <f t="shared" si="27"/>
        <v>-2.5260845689181737E-2</v>
      </c>
      <c r="I87" s="82">
        <f t="shared" si="22"/>
        <v>710</v>
      </c>
      <c r="J87" s="84">
        <f t="shared" si="28"/>
        <v>-2.5260845689181737E-2</v>
      </c>
      <c r="K87" s="85">
        <f t="shared" si="29"/>
        <v>-2.5260845689181737E-2</v>
      </c>
      <c r="L87" s="2"/>
      <c r="N87" s="12">
        <f t="shared" si="23"/>
        <v>8</v>
      </c>
      <c r="O87" s="12">
        <f t="shared" si="24"/>
        <v>8</v>
      </c>
      <c r="P87" s="12">
        <f t="shared" si="25"/>
        <v>355</v>
      </c>
      <c r="Q87" s="12">
        <f t="shared" si="26"/>
        <v>894</v>
      </c>
    </row>
    <row r="88" spans="1:17" x14ac:dyDescent="0.25">
      <c r="A88" s="81">
        <v>2014</v>
      </c>
      <c r="B88" s="21">
        <f>IF($B$3="Trawl",Indices!B18,Indices!C18)</f>
        <v>7995</v>
      </c>
      <c r="C88" s="22">
        <f t="shared" si="19"/>
        <v>0.76554271253676209</v>
      </c>
      <c r="D88" s="21">
        <f>IF($C$3="Trawl",Indices!B18,Indices!C18)</f>
        <v>171427</v>
      </c>
      <c r="E88" s="22">
        <f t="shared" si="20"/>
        <v>1.1392740479221033</v>
      </c>
      <c r="F88" s="65"/>
      <c r="G88" s="135">
        <f t="shared" si="21"/>
        <v>674.5</v>
      </c>
      <c r="H88" s="84">
        <f t="shared" si="27"/>
        <v>-0.05</v>
      </c>
      <c r="I88" s="82">
        <f t="shared" si="22"/>
        <v>674.5</v>
      </c>
      <c r="J88" s="84">
        <f t="shared" si="28"/>
        <v>-0.05</v>
      </c>
      <c r="K88" s="85">
        <f t="shared" si="29"/>
        <v>-0.05</v>
      </c>
      <c r="L88" s="2"/>
      <c r="N88" s="12">
        <f t="shared" si="23"/>
        <v>8</v>
      </c>
      <c r="O88" s="12">
        <f t="shared" si="24"/>
        <v>7</v>
      </c>
      <c r="P88" s="12">
        <f t="shared" si="25"/>
        <v>355</v>
      </c>
      <c r="Q88" s="12">
        <f t="shared" si="26"/>
        <v>894</v>
      </c>
    </row>
    <row r="89" spans="1:17" x14ac:dyDescent="0.25">
      <c r="A89" s="81">
        <v>2015</v>
      </c>
      <c r="B89" s="21">
        <f>IF($B$3="Trawl",Indices!B19,Indices!C19)</f>
        <v>8130</v>
      </c>
      <c r="C89" s="22">
        <f t="shared" si="19"/>
        <v>0.77846932494357424</v>
      </c>
      <c r="D89" s="21">
        <f>IF($C$3="Trawl",Indices!B19,Indices!C19)</f>
        <v>172237</v>
      </c>
      <c r="E89" s="22">
        <f t="shared" si="20"/>
        <v>1.1446571671437948</v>
      </c>
      <c r="F89" s="65"/>
      <c r="G89" s="135">
        <f t="shared" si="21"/>
        <v>674.5</v>
      </c>
      <c r="H89" s="84">
        <f t="shared" si="27"/>
        <v>0</v>
      </c>
      <c r="I89" s="82">
        <f t="shared" si="22"/>
        <v>674.5</v>
      </c>
      <c r="J89" s="84">
        <f t="shared" si="28"/>
        <v>0</v>
      </c>
      <c r="K89" s="85">
        <f t="shared" si="29"/>
        <v>0</v>
      </c>
      <c r="L89" s="2"/>
      <c r="N89" s="12">
        <f t="shared" si="23"/>
        <v>8</v>
      </c>
      <c r="O89" s="12">
        <f t="shared" si="24"/>
        <v>7</v>
      </c>
      <c r="P89" s="12">
        <f t="shared" si="25"/>
        <v>355</v>
      </c>
      <c r="Q89" s="12">
        <f t="shared" si="26"/>
        <v>894</v>
      </c>
    </row>
    <row r="90" spans="1:17" x14ac:dyDescent="0.25">
      <c r="A90" s="81">
        <v>2016</v>
      </c>
      <c r="B90" s="21">
        <f>IF($B$3="Trawl",Indices!B20,Indices!C20)</f>
        <v>7826</v>
      </c>
      <c r="C90" s="22">
        <f t="shared" si="19"/>
        <v>0.74936050885712324</v>
      </c>
      <c r="D90" s="21">
        <f>IF($C$3="Trawl",Indices!B20,Indices!C20)</f>
        <v>153704</v>
      </c>
      <c r="E90" s="22">
        <f t="shared" si="20"/>
        <v>1.0214900701862542</v>
      </c>
      <c r="F90" s="65"/>
      <c r="G90" s="135">
        <f t="shared" si="21"/>
        <v>603.5</v>
      </c>
      <c r="H90" s="84">
        <f t="shared" si="27"/>
        <v>-0.10526315789473684</v>
      </c>
      <c r="I90" s="82">
        <f t="shared" si="22"/>
        <v>603.5</v>
      </c>
      <c r="J90" s="84">
        <f t="shared" si="28"/>
        <v>-0.10526315789473684</v>
      </c>
      <c r="K90" s="85">
        <f t="shared" si="29"/>
        <v>-0.10526315789473684</v>
      </c>
      <c r="L90" s="2"/>
      <c r="N90" s="12">
        <f t="shared" si="23"/>
        <v>9</v>
      </c>
      <c r="O90" s="12">
        <f t="shared" si="24"/>
        <v>6</v>
      </c>
      <c r="P90" s="12">
        <f t="shared" si="25"/>
        <v>355</v>
      </c>
      <c r="Q90" s="12">
        <f t="shared" si="26"/>
        <v>894</v>
      </c>
    </row>
    <row r="91" spans="1:17" x14ac:dyDescent="0.25">
      <c r="A91" s="81">
        <v>2017</v>
      </c>
      <c r="B91" s="21">
        <f>IF($B$3="Trawl",Indices!B21,Indices!C21)</f>
        <v>7250</v>
      </c>
      <c r="C91" s="22">
        <f t="shared" si="19"/>
        <v>0.69420696258805825</v>
      </c>
      <c r="D91" s="21">
        <f>IF($C$3="Trawl",Indices!B21,Indices!C21)</f>
        <v>126684</v>
      </c>
      <c r="E91" s="22">
        <f t="shared" si="20"/>
        <v>0.84191984627254601</v>
      </c>
      <c r="F91" s="65"/>
      <c r="G91" s="135">
        <f t="shared" si="21"/>
        <v>532.5</v>
      </c>
      <c r="H91" s="84">
        <f t="shared" si="27"/>
        <v>-0.11764705882352941</v>
      </c>
      <c r="I91" s="82">
        <f t="shared" si="22"/>
        <v>532.5</v>
      </c>
      <c r="J91" s="84">
        <f t="shared" si="28"/>
        <v>-0.11764705882352941</v>
      </c>
      <c r="K91" s="85">
        <f t="shared" si="29"/>
        <v>-0.11764705882352941</v>
      </c>
      <c r="L91" s="2"/>
      <c r="N91" s="12">
        <f t="shared" si="23"/>
        <v>9</v>
      </c>
      <c r="O91" s="12">
        <f t="shared" si="24"/>
        <v>4</v>
      </c>
      <c r="P91" s="12">
        <f t="shared" si="25"/>
        <v>355</v>
      </c>
      <c r="Q91" s="12">
        <f t="shared" si="26"/>
        <v>894</v>
      </c>
    </row>
    <row r="92" spans="1:17" x14ac:dyDescent="0.25">
      <c r="A92" s="81">
        <v>2018</v>
      </c>
      <c r="B92" s="21">
        <f>IF($B$3="Trawl",Indices!B22,Indices!C22)</f>
        <v>7141</v>
      </c>
      <c r="C92" s="22">
        <f t="shared" si="19"/>
        <v>0.68376991997811365</v>
      </c>
      <c r="D92" s="21">
        <f>IF($C$3="Trawl",Indices!B22,Indices!C22)</f>
        <v>125702</v>
      </c>
      <c r="E92" s="22">
        <f t="shared" si="20"/>
        <v>0.83539364494452006</v>
      </c>
      <c r="F92" s="65"/>
      <c r="G92" s="135">
        <f t="shared" si="21"/>
        <v>532.5</v>
      </c>
      <c r="H92" s="84">
        <f t="shared" si="27"/>
        <v>0</v>
      </c>
      <c r="I92" s="82">
        <f>IF(H92&gt;0,IF(ABS(H92)&gt;$H$8,G91*(1+SIGN(H92)*$H$8),G92),IF(ABS(H92)&gt;$H$9,G91*(1+SIGN(H92)*$H$9),G92))</f>
        <v>532.5</v>
      </c>
      <c r="J92" s="84">
        <f t="shared" si="28"/>
        <v>0</v>
      </c>
      <c r="K92" s="85">
        <f t="shared" si="29"/>
        <v>0</v>
      </c>
      <c r="N92" s="12">
        <f t="shared" si="23"/>
        <v>9</v>
      </c>
      <c r="O92" s="12">
        <f t="shared" si="24"/>
        <v>4</v>
      </c>
      <c r="P92" s="12">
        <f t="shared" si="25"/>
        <v>355</v>
      </c>
      <c r="Q92" s="12">
        <f t="shared" si="26"/>
        <v>894</v>
      </c>
    </row>
    <row r="93" spans="1:17" x14ac:dyDescent="0.25">
      <c r="A93" s="81"/>
      <c r="B93" s="21"/>
      <c r="C93" s="21"/>
      <c r="D93" s="21"/>
      <c r="E93" s="21"/>
      <c r="F93" s="65"/>
      <c r="G93" s="65"/>
      <c r="H93" s="21"/>
      <c r="I93" s="21"/>
      <c r="J93" s="84"/>
      <c r="K93" s="85"/>
      <c r="L93" s="2"/>
      <c r="N93" s="12"/>
      <c r="O93" s="12"/>
    </row>
    <row r="94" spans="1:17" ht="15.75" thickBot="1" x14ac:dyDescent="0.3">
      <c r="A94" s="86" t="s">
        <v>13</v>
      </c>
      <c r="B94" s="87">
        <v>100000</v>
      </c>
      <c r="C94" s="91">
        <f t="shared" si="19"/>
        <v>9.5752684494904585</v>
      </c>
      <c r="D94" s="87">
        <v>100000</v>
      </c>
      <c r="E94" s="91">
        <f t="shared" si="20"/>
        <v>0.66458261996190993</v>
      </c>
      <c r="F94" s="87"/>
      <c r="G94" s="136">
        <f t="shared" si="21"/>
        <v>746.8</v>
      </c>
      <c r="H94" s="89">
        <f>(G94-G92)/G92</f>
        <v>0.40244131455399051</v>
      </c>
      <c r="I94" s="88">
        <f>IF(H94&gt;0,IF(ABS(H94)&gt;$H$8,G92*(1+SIGN(H94)*$H$8),G94),IF(ABS(H94)&gt;$H$9,G92*(1+SIGN(H94)*$H$9),G94))</f>
        <v>612.375</v>
      </c>
      <c r="J94" s="89">
        <f>(G94-I92)/I92</f>
        <v>0.40244131455399051</v>
      </c>
      <c r="K94" s="90">
        <f>(I94-I92)/I92</f>
        <v>0.15</v>
      </c>
      <c r="L94" s="2"/>
      <c r="N94" s="12">
        <f t="shared" si="23"/>
        <v>1</v>
      </c>
      <c r="O94" s="12">
        <f t="shared" si="24"/>
        <v>3</v>
      </c>
    </row>
    <row r="95" spans="1:17" x14ac:dyDescent="0.25">
      <c r="C95" s="4"/>
      <c r="D95" s="7"/>
      <c r="E95" s="7"/>
    </row>
    <row r="96" spans="1:17" ht="21" x14ac:dyDescent="0.25">
      <c r="A96"/>
      <c r="B96" s="3"/>
      <c r="C96" s="184" t="s">
        <v>90</v>
      </c>
      <c r="D96" s="184"/>
      <c r="E96" s="184"/>
      <c r="F96" s="184"/>
      <c r="G96" s="184"/>
      <c r="H96" s="184"/>
      <c r="I96" s="184"/>
      <c r="J96" s="184"/>
      <c r="K96" s="184"/>
      <c r="L96" s="184"/>
      <c r="M96" s="184"/>
    </row>
    <row r="97" spans="1:16" x14ac:dyDescent="0.25">
      <c r="A97" s="185" t="s">
        <v>89</v>
      </c>
      <c r="B97" s="3"/>
      <c r="C97" s="2">
        <v>0.5</v>
      </c>
      <c r="D97" s="2">
        <v>0.6</v>
      </c>
      <c r="E97" s="2">
        <v>0.7</v>
      </c>
      <c r="F97" s="2">
        <v>0.8</v>
      </c>
      <c r="G97" s="2">
        <v>0.9</v>
      </c>
      <c r="H97" s="2">
        <v>1</v>
      </c>
      <c r="I97" s="2">
        <v>1.1000000000000001</v>
      </c>
      <c r="J97" s="2">
        <v>1.2</v>
      </c>
      <c r="K97" s="2">
        <v>1.3</v>
      </c>
      <c r="L97" s="2">
        <v>1.4</v>
      </c>
      <c r="M97" s="2">
        <v>1.5</v>
      </c>
      <c r="O97" s="12" t="s">
        <v>93</v>
      </c>
      <c r="P97" s="12" t="s">
        <v>94</v>
      </c>
    </row>
    <row r="98" spans="1:16" x14ac:dyDescent="0.25">
      <c r="A98" s="185"/>
      <c r="B98" s="3">
        <v>1.5</v>
      </c>
      <c r="C98" s="16">
        <f>$F$4</f>
        <v>710</v>
      </c>
      <c r="D98" s="16">
        <f>C98+$O$98*(D$97-C$97)</f>
        <v>728.4</v>
      </c>
      <c r="E98" s="16">
        <f t="shared" ref="E98:L106" si="30">D98+$O$98*(E$97-D$97)</f>
        <v>746.8</v>
      </c>
      <c r="F98" s="16">
        <f t="shared" si="30"/>
        <v>765.19999999999993</v>
      </c>
      <c r="G98" s="16">
        <f t="shared" si="30"/>
        <v>783.59999999999991</v>
      </c>
      <c r="H98" s="16">
        <f t="shared" si="30"/>
        <v>801.99999999999989</v>
      </c>
      <c r="I98" s="16">
        <f t="shared" si="30"/>
        <v>820.39999999999986</v>
      </c>
      <c r="J98" s="16">
        <f t="shared" si="30"/>
        <v>838.79999999999984</v>
      </c>
      <c r="K98" s="16">
        <f t="shared" si="30"/>
        <v>857.19999999999982</v>
      </c>
      <c r="L98" s="16">
        <f t="shared" si="30"/>
        <v>875.5999999999998</v>
      </c>
      <c r="M98" s="16">
        <f>G4</f>
        <v>894</v>
      </c>
      <c r="O98" s="12">
        <f>(M98-C98)/(M97-C97)</f>
        <v>184</v>
      </c>
      <c r="P98" s="12">
        <f>(M108-C108)/(M97-C97)</f>
        <v>355</v>
      </c>
    </row>
    <row r="99" spans="1:16" x14ac:dyDescent="0.25">
      <c r="A99" s="185"/>
      <c r="B99" s="3">
        <v>1.4</v>
      </c>
      <c r="C99" s="16">
        <f>C98+$P$98*(B99-B98)</f>
        <v>674.5</v>
      </c>
      <c r="D99" s="16">
        <f>$F$4</f>
        <v>710</v>
      </c>
      <c r="E99" s="16">
        <f t="shared" si="30"/>
        <v>728.4</v>
      </c>
      <c r="F99" s="16">
        <f t="shared" si="30"/>
        <v>746.8</v>
      </c>
      <c r="G99" s="16">
        <f t="shared" si="30"/>
        <v>765.19999999999993</v>
      </c>
      <c r="H99" s="16">
        <f t="shared" si="30"/>
        <v>783.59999999999991</v>
      </c>
      <c r="I99" s="16">
        <f t="shared" si="30"/>
        <v>801.99999999999989</v>
      </c>
      <c r="J99" s="16">
        <f t="shared" si="30"/>
        <v>820.39999999999986</v>
      </c>
      <c r="K99" s="16">
        <f t="shared" si="30"/>
        <v>838.79999999999984</v>
      </c>
      <c r="L99" s="16">
        <f t="shared" si="30"/>
        <v>857.19999999999982</v>
      </c>
      <c r="M99" s="16">
        <f>M98+$O$98*(B99-B98)</f>
        <v>875.6</v>
      </c>
    </row>
    <row r="100" spans="1:16" x14ac:dyDescent="0.25">
      <c r="A100" s="185"/>
      <c r="B100" s="3">
        <v>1.3</v>
      </c>
      <c r="C100" s="16">
        <f t="shared" ref="C100:C107" si="31">C99+$P$98*(B100-B99)</f>
        <v>639</v>
      </c>
      <c r="D100" s="16">
        <f t="shared" ref="D100:L108" si="32">C100+$P$98*(D$97-C$97)</f>
        <v>674.5</v>
      </c>
      <c r="E100" s="16">
        <f>$F$4</f>
        <v>710</v>
      </c>
      <c r="F100" s="16">
        <f t="shared" si="30"/>
        <v>728.4</v>
      </c>
      <c r="G100" s="16">
        <f t="shared" si="30"/>
        <v>746.8</v>
      </c>
      <c r="H100" s="16">
        <f t="shared" si="30"/>
        <v>765.19999999999993</v>
      </c>
      <c r="I100" s="16">
        <f t="shared" si="30"/>
        <v>783.59999999999991</v>
      </c>
      <c r="J100" s="16">
        <f t="shared" si="30"/>
        <v>801.99999999999989</v>
      </c>
      <c r="K100" s="16">
        <f t="shared" si="30"/>
        <v>820.39999999999986</v>
      </c>
      <c r="L100" s="16">
        <f t="shared" si="30"/>
        <v>838.79999999999984</v>
      </c>
      <c r="M100" s="16">
        <f t="shared" ref="M100:M107" si="33">M99+$O$98*(B100-B99)</f>
        <v>857.2</v>
      </c>
    </row>
    <row r="101" spans="1:16" x14ac:dyDescent="0.25">
      <c r="A101" s="185"/>
      <c r="B101" s="3">
        <v>1.2</v>
      </c>
      <c r="C101" s="16">
        <f t="shared" si="31"/>
        <v>603.5</v>
      </c>
      <c r="D101" s="16">
        <f t="shared" si="32"/>
        <v>639</v>
      </c>
      <c r="E101" s="16">
        <f t="shared" si="32"/>
        <v>674.5</v>
      </c>
      <c r="F101" s="16">
        <f>$F$4</f>
        <v>710</v>
      </c>
      <c r="G101" s="16">
        <f t="shared" si="30"/>
        <v>728.4</v>
      </c>
      <c r="H101" s="16">
        <f t="shared" si="30"/>
        <v>746.8</v>
      </c>
      <c r="I101" s="16">
        <f t="shared" si="30"/>
        <v>765.19999999999993</v>
      </c>
      <c r="J101" s="16">
        <f t="shared" si="30"/>
        <v>783.59999999999991</v>
      </c>
      <c r="K101" s="16">
        <f t="shared" si="30"/>
        <v>801.99999999999989</v>
      </c>
      <c r="L101" s="16">
        <f t="shared" si="30"/>
        <v>820.39999999999986</v>
      </c>
      <c r="M101" s="16">
        <f t="shared" si="33"/>
        <v>838.80000000000007</v>
      </c>
    </row>
    <row r="102" spans="1:16" x14ac:dyDescent="0.25">
      <c r="A102" s="185"/>
      <c r="B102" s="3">
        <v>1.1000000000000001</v>
      </c>
      <c r="C102" s="16">
        <f t="shared" si="31"/>
        <v>568</v>
      </c>
      <c r="D102" s="16">
        <f t="shared" si="32"/>
        <v>603.5</v>
      </c>
      <c r="E102" s="16">
        <f t="shared" si="32"/>
        <v>639</v>
      </c>
      <c r="F102" s="16">
        <f t="shared" si="32"/>
        <v>674.5</v>
      </c>
      <c r="G102" s="16">
        <f>$F$4</f>
        <v>710</v>
      </c>
      <c r="H102" s="16">
        <f t="shared" si="30"/>
        <v>728.4</v>
      </c>
      <c r="I102" s="16">
        <f t="shared" si="30"/>
        <v>746.8</v>
      </c>
      <c r="J102" s="16">
        <f t="shared" si="30"/>
        <v>765.19999999999993</v>
      </c>
      <c r="K102" s="16">
        <f t="shared" si="30"/>
        <v>783.59999999999991</v>
      </c>
      <c r="L102" s="16">
        <f t="shared" si="30"/>
        <v>801.99999999999989</v>
      </c>
      <c r="M102" s="16">
        <f t="shared" si="33"/>
        <v>820.40000000000009</v>
      </c>
    </row>
    <row r="103" spans="1:16" x14ac:dyDescent="0.25">
      <c r="A103" s="185"/>
      <c r="B103" s="3">
        <v>1</v>
      </c>
      <c r="C103" s="16">
        <f t="shared" si="31"/>
        <v>532.5</v>
      </c>
      <c r="D103" s="16">
        <f t="shared" si="32"/>
        <v>568</v>
      </c>
      <c r="E103" s="16">
        <f t="shared" si="32"/>
        <v>603.5</v>
      </c>
      <c r="F103" s="16">
        <f t="shared" si="32"/>
        <v>639</v>
      </c>
      <c r="G103" s="16">
        <f t="shared" si="32"/>
        <v>674.5</v>
      </c>
      <c r="H103" s="16">
        <f>F4</f>
        <v>710</v>
      </c>
      <c r="I103" s="16">
        <f t="shared" si="30"/>
        <v>728.4</v>
      </c>
      <c r="J103" s="16">
        <f t="shared" si="30"/>
        <v>746.8</v>
      </c>
      <c r="K103" s="16">
        <f t="shared" si="30"/>
        <v>765.19999999999993</v>
      </c>
      <c r="L103" s="16">
        <f t="shared" si="30"/>
        <v>783.59999999999991</v>
      </c>
      <c r="M103" s="16">
        <f t="shared" si="33"/>
        <v>802.00000000000011</v>
      </c>
    </row>
    <row r="104" spans="1:16" x14ac:dyDescent="0.25">
      <c r="A104" s="185"/>
      <c r="B104" s="3">
        <v>0.9</v>
      </c>
      <c r="C104" s="16">
        <f t="shared" si="31"/>
        <v>497</v>
      </c>
      <c r="D104" s="16">
        <f t="shared" si="32"/>
        <v>532.5</v>
      </c>
      <c r="E104" s="16">
        <f t="shared" si="32"/>
        <v>568</v>
      </c>
      <c r="F104" s="16">
        <f t="shared" si="32"/>
        <v>603.5</v>
      </c>
      <c r="G104" s="16">
        <f t="shared" si="32"/>
        <v>639</v>
      </c>
      <c r="H104" s="16">
        <f t="shared" si="32"/>
        <v>674.5</v>
      </c>
      <c r="I104" s="16">
        <f>$F$4</f>
        <v>710</v>
      </c>
      <c r="J104" s="16">
        <f t="shared" si="30"/>
        <v>728.4</v>
      </c>
      <c r="K104" s="16">
        <f t="shared" si="30"/>
        <v>746.8</v>
      </c>
      <c r="L104" s="16">
        <f t="shared" si="30"/>
        <v>765.19999999999993</v>
      </c>
      <c r="M104" s="16">
        <f t="shared" si="33"/>
        <v>783.60000000000014</v>
      </c>
    </row>
    <row r="105" spans="1:16" x14ac:dyDescent="0.25">
      <c r="A105" s="185"/>
      <c r="B105" s="3">
        <v>0.8</v>
      </c>
      <c r="C105" s="16">
        <f t="shared" si="31"/>
        <v>461.5</v>
      </c>
      <c r="D105" s="16">
        <f t="shared" si="32"/>
        <v>497</v>
      </c>
      <c r="E105" s="16">
        <f t="shared" si="32"/>
        <v>532.5</v>
      </c>
      <c r="F105" s="16">
        <f t="shared" si="32"/>
        <v>568</v>
      </c>
      <c r="G105" s="16">
        <f t="shared" si="32"/>
        <v>603.5</v>
      </c>
      <c r="H105" s="16">
        <f t="shared" si="32"/>
        <v>639</v>
      </c>
      <c r="I105" s="16">
        <f t="shared" si="32"/>
        <v>674.5</v>
      </c>
      <c r="J105" s="16">
        <f>$F$4</f>
        <v>710</v>
      </c>
      <c r="K105" s="16">
        <f t="shared" si="30"/>
        <v>728.4</v>
      </c>
      <c r="L105" s="16">
        <f t="shared" si="30"/>
        <v>746.8</v>
      </c>
      <c r="M105" s="16">
        <f t="shared" si="33"/>
        <v>765.20000000000016</v>
      </c>
    </row>
    <row r="106" spans="1:16" x14ac:dyDescent="0.25">
      <c r="A106" s="185"/>
      <c r="B106" s="3">
        <v>0.7</v>
      </c>
      <c r="C106" s="16">
        <f t="shared" si="31"/>
        <v>426</v>
      </c>
      <c r="D106" s="16">
        <f t="shared" si="32"/>
        <v>461.5</v>
      </c>
      <c r="E106" s="16">
        <f t="shared" si="32"/>
        <v>497</v>
      </c>
      <c r="F106" s="16">
        <f t="shared" si="32"/>
        <v>532.5</v>
      </c>
      <c r="G106" s="16">
        <f t="shared" si="32"/>
        <v>568</v>
      </c>
      <c r="H106" s="16">
        <f t="shared" si="32"/>
        <v>603.5</v>
      </c>
      <c r="I106" s="16">
        <f t="shared" si="32"/>
        <v>639</v>
      </c>
      <c r="J106" s="16">
        <f t="shared" si="32"/>
        <v>674.5</v>
      </c>
      <c r="K106" s="16">
        <f>$F$4</f>
        <v>710</v>
      </c>
      <c r="L106" s="16">
        <f t="shared" si="30"/>
        <v>728.4</v>
      </c>
      <c r="M106" s="16">
        <f t="shared" si="33"/>
        <v>746.80000000000018</v>
      </c>
    </row>
    <row r="107" spans="1:16" x14ac:dyDescent="0.25">
      <c r="A107" s="185"/>
      <c r="B107" s="3">
        <v>0.6</v>
      </c>
      <c r="C107" s="16">
        <f t="shared" si="31"/>
        <v>390.5</v>
      </c>
      <c r="D107" s="16">
        <f t="shared" si="32"/>
        <v>426</v>
      </c>
      <c r="E107" s="16">
        <f t="shared" si="32"/>
        <v>461.5</v>
      </c>
      <c r="F107" s="16">
        <f t="shared" si="32"/>
        <v>497</v>
      </c>
      <c r="G107" s="16">
        <f t="shared" si="32"/>
        <v>532.5</v>
      </c>
      <c r="H107" s="16">
        <f t="shared" si="32"/>
        <v>568</v>
      </c>
      <c r="I107" s="16">
        <f t="shared" si="32"/>
        <v>603.5</v>
      </c>
      <c r="J107" s="16">
        <f t="shared" si="32"/>
        <v>639</v>
      </c>
      <c r="K107" s="16">
        <f t="shared" si="32"/>
        <v>674.5</v>
      </c>
      <c r="L107" s="16">
        <f>$F$4</f>
        <v>710</v>
      </c>
      <c r="M107" s="16">
        <f t="shared" si="33"/>
        <v>728.4000000000002</v>
      </c>
    </row>
    <row r="108" spans="1:16" x14ac:dyDescent="0.25">
      <c r="A108" s="185"/>
      <c r="B108" s="3">
        <v>0.5</v>
      </c>
      <c r="C108" s="16">
        <f>H4</f>
        <v>355</v>
      </c>
      <c r="D108" s="16">
        <f>C108+$P$98*(D$97-C$97)</f>
        <v>390.5</v>
      </c>
      <c r="E108" s="16">
        <f t="shared" si="32"/>
        <v>426</v>
      </c>
      <c r="F108" s="16">
        <f t="shared" si="32"/>
        <v>461.5</v>
      </c>
      <c r="G108" s="16">
        <f t="shared" si="32"/>
        <v>497</v>
      </c>
      <c r="H108" s="16">
        <f t="shared" si="32"/>
        <v>532.5</v>
      </c>
      <c r="I108" s="16">
        <f t="shared" si="32"/>
        <v>568</v>
      </c>
      <c r="J108" s="16">
        <f t="shared" si="32"/>
        <v>603.5</v>
      </c>
      <c r="K108" s="16">
        <f t="shared" si="32"/>
        <v>639</v>
      </c>
      <c r="L108" s="16">
        <f t="shared" si="32"/>
        <v>674.5</v>
      </c>
      <c r="M108" s="16">
        <f>$F$4</f>
        <v>710</v>
      </c>
    </row>
  </sheetData>
  <mergeCells count="8">
    <mergeCell ref="C96:M96"/>
    <mergeCell ref="A97:A108"/>
    <mergeCell ref="C56:M56"/>
    <mergeCell ref="A57:A68"/>
    <mergeCell ref="A6:B6"/>
    <mergeCell ref="D7:E7"/>
    <mergeCell ref="G7:H7"/>
    <mergeCell ref="A10:C10"/>
  </mergeCells>
  <conditionalFormatting sqref="C58:M68">
    <cfRule type="colorScale" priority="13">
      <colorScale>
        <cfvo type="min"/>
        <cfvo type="max"/>
        <color theme="4"/>
        <color theme="5"/>
      </colorScale>
    </cfRule>
  </conditionalFormatting>
  <conditionalFormatting sqref="AB33:BC51 AB53:BC54">
    <cfRule type="colorScale" priority="8">
      <colorScale>
        <cfvo type="min"/>
        <cfvo type="percentile" val="50"/>
        <cfvo type="max"/>
        <color rgb="FFF8696B"/>
        <color rgb="FFFFEB84"/>
        <color rgb="FF63BE7B"/>
      </colorScale>
    </cfRule>
  </conditionalFormatting>
  <conditionalFormatting sqref="G32:G52 G54">
    <cfRule type="expression" dxfId="17" priority="11">
      <formula>G32&lt;=$H$3</formula>
    </cfRule>
    <cfRule type="expression" dxfId="16" priority="12">
      <formula>G32&gt;=$G$3</formula>
    </cfRule>
  </conditionalFormatting>
  <conditionalFormatting sqref="C98:M98 C100:C107 C99:L99 M99:M107 C108:M108 D107:M107 D100:L106">
    <cfRule type="colorScale" priority="5">
      <colorScale>
        <cfvo type="min"/>
        <cfvo type="max"/>
        <color theme="4"/>
        <color theme="5"/>
      </colorScale>
    </cfRule>
  </conditionalFormatting>
  <conditionalFormatting sqref="AB73:BC91 AB93:BC94">
    <cfRule type="colorScale" priority="2">
      <colorScale>
        <cfvo type="min"/>
        <cfvo type="percentile" val="50"/>
        <cfvo type="max"/>
        <color rgb="FFF8696B"/>
        <color rgb="FFFFEB84"/>
        <color rgb="FF63BE7B"/>
      </colorScale>
    </cfRule>
  </conditionalFormatting>
  <conditionalFormatting sqref="G72:G92 G94">
    <cfRule type="expression" dxfId="15" priority="3">
      <formula>G72&lt;=$H$4</formula>
    </cfRule>
    <cfRule type="expression" dxfId="14" priority="4">
      <formula>G72&gt;=$G$4</formula>
    </cfRule>
  </conditionalFormatting>
  <pageMargins left="0.7" right="0.7" top="0.75" bottom="0.75" header="0.3" footer="0.3"/>
  <pageSetup orientation="portrait" horizontalDpi="300" verticalDpi="300" r:id="rId1"/>
  <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800-000000000000}">
          <x14:formula1>
            <xm:f>Indices!$B$1:$C$1</xm:f>
          </x14:formula1>
          <xm:sqref>B2:B3</xm:sqref>
        </x14:dataValidation>
        <x14:dataValidation type="list" allowBlank="1" showInputMessage="1" showErrorMessage="1" xr:uid="{00000000-0002-0000-0800-000001000000}">
          <x14:formula1>
            <xm:f>Indices!$A$2:$A$23</xm:f>
          </x14:formula1>
          <xm:sqref>B12:C13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Instructions</vt:lpstr>
      <vt:lpstr>Alternatives</vt:lpstr>
      <vt:lpstr>Alt1</vt:lpstr>
      <vt:lpstr>Alt2-1</vt:lpstr>
      <vt:lpstr>Alt2-2</vt:lpstr>
      <vt:lpstr>Alt2-3</vt:lpstr>
      <vt:lpstr>Alt2-4</vt:lpstr>
      <vt:lpstr>Alt3-1</vt:lpstr>
      <vt:lpstr>Alt3-2a</vt:lpstr>
      <vt:lpstr>Alt3-3a</vt:lpstr>
      <vt:lpstr>Indices</vt:lpstr>
      <vt:lpstr>Instructions!_Ref14702097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D4 ABM Alternatives Excel Workbook Feb 2020</dc:title>
  <dc:creator>Allan Hicks</dc:creator>
  <cp:lastModifiedBy>Sarah LaBelle</cp:lastModifiedBy>
  <dcterms:created xsi:type="dcterms:W3CDTF">2019-01-11T19:04:57Z</dcterms:created>
  <dcterms:modified xsi:type="dcterms:W3CDTF">2020-01-23T17:24:57Z</dcterms:modified>
</cp:coreProperties>
</file>